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ssie2\Documents\vision 2\"/>
    </mc:Choice>
  </mc:AlternateContent>
  <bookViews>
    <workbookView xWindow="0" yWindow="0" windowWidth="14295" windowHeight="6120"/>
  </bookViews>
  <sheets>
    <sheet name="Midwestern Foundations" sheetId="1" r:id="rId1"/>
  </sheets>
  <definedNames>
    <definedName name="_xlnm._FilterDatabase" localSheetId="0" hidden="1">'Midwestern Foundations'!$A$1:$Q$2502</definedName>
  </definedNames>
  <calcPr calcId="152511"/>
</workbook>
</file>

<file path=xl/calcChain.xml><?xml version="1.0" encoding="utf-8"?>
<calcChain xmlns="http://schemas.openxmlformats.org/spreadsheetml/2006/main">
  <c r="I2381" i="1" l="1"/>
  <c r="I184" i="1"/>
  <c r="I344" i="1"/>
  <c r="I141" i="1"/>
  <c r="I2059" i="1"/>
  <c r="I25" i="1"/>
  <c r="I1916" i="1"/>
  <c r="I2427" i="1"/>
  <c r="I1799" i="1"/>
  <c r="I670" i="1"/>
  <c r="I297" i="1"/>
  <c r="I354" i="1"/>
  <c r="I541" i="1"/>
  <c r="I1076" i="1"/>
  <c r="I46" i="1"/>
  <c r="I2112" i="1"/>
  <c r="I50" i="1"/>
  <c r="I2377" i="1"/>
  <c r="I1094" i="1"/>
  <c r="I1212" i="1"/>
  <c r="I784" i="1"/>
  <c r="I11" i="1"/>
  <c r="I750" i="1"/>
  <c r="I1475" i="1"/>
  <c r="I1921" i="1"/>
  <c r="I464" i="1"/>
  <c r="I1451" i="1"/>
  <c r="I882" i="1"/>
  <c r="I2036" i="1"/>
  <c r="I1628" i="1"/>
  <c r="I2346" i="1"/>
  <c r="I2153" i="1"/>
  <c r="I2313" i="1"/>
  <c r="I2407" i="1"/>
  <c r="I1844" i="1"/>
  <c r="I2317" i="1"/>
  <c r="I109" i="1"/>
  <c r="I979" i="1"/>
  <c r="I2447" i="1"/>
  <c r="I94" i="1"/>
  <c r="I1266" i="1"/>
  <c r="I1860" i="1"/>
  <c r="I260" i="1"/>
  <c r="I868" i="1"/>
  <c r="I777" i="1"/>
  <c r="I45" i="1"/>
  <c r="I1553" i="1"/>
  <c r="I417" i="1"/>
  <c r="I2493" i="1"/>
  <c r="I1247" i="1"/>
  <c r="I2233" i="1"/>
  <c r="I1584" i="1"/>
  <c r="I1490" i="1"/>
  <c r="I1534" i="1"/>
  <c r="I675" i="1"/>
  <c r="I536" i="1"/>
  <c r="I726" i="1"/>
  <c r="I1010" i="1"/>
  <c r="I1054" i="1"/>
  <c r="I589" i="1"/>
  <c r="I1751" i="1"/>
  <c r="I1298" i="1"/>
  <c r="I1895" i="1"/>
  <c r="I1888" i="1"/>
  <c r="I1701" i="1"/>
  <c r="I1825" i="1"/>
  <c r="I1413" i="1"/>
  <c r="I1807" i="1"/>
  <c r="I698" i="1"/>
  <c r="I1793" i="1"/>
  <c r="I1897" i="1"/>
  <c r="I1434" i="1"/>
  <c r="I2360" i="1"/>
  <c r="I1282" i="1"/>
  <c r="I1986" i="1"/>
  <c r="I2176" i="1"/>
  <c r="I1270" i="1"/>
  <c r="I569" i="1"/>
  <c r="I2448" i="1"/>
  <c r="I2052" i="1"/>
  <c r="I2160" i="1"/>
  <c r="I1400" i="1"/>
  <c r="I2123" i="1"/>
  <c r="I1224" i="1"/>
  <c r="I1351" i="1"/>
  <c r="I156" i="1"/>
  <c r="I2452" i="1"/>
  <c r="I387" i="1"/>
  <c r="I903" i="1"/>
  <c r="I2195" i="1"/>
  <c r="I1055" i="1"/>
  <c r="I128" i="1"/>
  <c r="I953" i="1"/>
  <c r="I1551" i="1"/>
  <c r="I830" i="1"/>
  <c r="I570" i="1"/>
  <c r="I1841" i="1"/>
  <c r="I1803" i="1"/>
  <c r="I2491" i="1"/>
  <c r="I1136" i="1"/>
  <c r="I1255" i="1"/>
  <c r="I1297" i="1"/>
  <c r="I2139" i="1"/>
  <c r="I1930" i="1"/>
  <c r="I2094" i="1"/>
  <c r="I2275" i="1"/>
  <c r="I2499" i="1"/>
  <c r="I819" i="1"/>
  <c r="I1948" i="1"/>
  <c r="I1501" i="1"/>
  <c r="I2464" i="1"/>
  <c r="I609" i="1"/>
  <c r="I1725" i="1"/>
  <c r="I2067" i="1"/>
  <c r="I978" i="1"/>
  <c r="I1683" i="1"/>
  <c r="I1737" i="1"/>
  <c r="I1476" i="1"/>
  <c r="I2027" i="1"/>
  <c r="I912" i="1"/>
  <c r="I1611" i="1"/>
  <c r="I1749" i="1"/>
  <c r="I1218" i="1"/>
  <c r="I2127" i="1"/>
  <c r="I2106" i="1"/>
  <c r="I1113" i="1"/>
  <c r="I493" i="1"/>
  <c r="I1735" i="1"/>
  <c r="I1855" i="1"/>
  <c r="I515" i="1"/>
  <c r="I2293" i="1"/>
  <c r="I2433" i="1"/>
  <c r="I182" i="1"/>
  <c r="I318" i="1"/>
  <c r="I235" i="1"/>
  <c r="I44" i="1"/>
  <c r="I1074" i="1"/>
  <c r="I1170" i="1"/>
  <c r="I1344" i="1"/>
  <c r="I274" i="1"/>
  <c r="I2418" i="1"/>
  <c r="I1833" i="1"/>
  <c r="I386" i="1"/>
  <c r="I1764" i="1"/>
  <c r="I872" i="1"/>
  <c r="I2104" i="1"/>
  <c r="I1096" i="1"/>
  <c r="I1679" i="1"/>
  <c r="I2096" i="1"/>
  <c r="I1019" i="1"/>
  <c r="I1484" i="1"/>
  <c r="I1022" i="1"/>
  <c r="I2111" i="1"/>
  <c r="I2040" i="1"/>
  <c r="I1200" i="1"/>
  <c r="I1768" i="1"/>
  <c r="I2456" i="1"/>
  <c r="I2155" i="1"/>
  <c r="I1441" i="1"/>
  <c r="I2269" i="1"/>
  <c r="I2219" i="1"/>
  <c r="I2485" i="1"/>
  <c r="I674" i="1"/>
  <c r="I1249" i="1"/>
  <c r="I209" i="1"/>
  <c r="I1496" i="1"/>
  <c r="I2012" i="1"/>
  <c r="I1384" i="1"/>
  <c r="I2226" i="1"/>
  <c r="I2324" i="1"/>
  <c r="I2203" i="1"/>
  <c r="I577" i="1"/>
  <c r="I2403" i="1"/>
  <c r="I390" i="1"/>
  <c r="I816" i="1"/>
  <c r="I329" i="1"/>
  <c r="I1544" i="1"/>
  <c r="I1700" i="1"/>
  <c r="I1650" i="1"/>
  <c r="I797" i="1"/>
  <c r="I1416" i="1"/>
  <c r="I1168" i="1"/>
  <c r="I2428" i="1"/>
  <c r="I2003" i="1"/>
  <c r="I1752" i="1"/>
  <c r="I1779" i="1"/>
  <c r="I2095" i="1"/>
  <c r="I728" i="1"/>
  <c r="I1942" i="1"/>
  <c r="I1467" i="1"/>
  <c r="I2344" i="1"/>
  <c r="I1458" i="1"/>
  <c r="I186" i="1"/>
  <c r="I352" i="1"/>
  <c r="I102" i="1"/>
  <c r="I2289" i="1"/>
  <c r="I1743" i="1"/>
  <c r="I767" i="1"/>
  <c r="I371" i="1"/>
  <c r="I331" i="1"/>
  <c r="I2145" i="1"/>
  <c r="I1049" i="1"/>
  <c r="I916" i="1"/>
  <c r="I1489" i="1"/>
  <c r="I601" i="1"/>
  <c r="I696" i="1"/>
  <c r="I2459" i="1"/>
  <c r="I2347" i="1"/>
  <c r="I2154" i="1"/>
  <c r="I1520" i="1"/>
  <c r="I1626" i="1"/>
  <c r="I2151" i="1"/>
  <c r="I2285" i="1"/>
  <c r="I2189" i="1"/>
  <c r="I207" i="1"/>
  <c r="I452" i="1"/>
  <c r="I1644" i="1"/>
  <c r="I933" i="1"/>
  <c r="I721" i="1"/>
  <c r="I1836" i="1"/>
  <c r="I1276" i="1"/>
  <c r="I2395" i="1"/>
  <c r="I1245" i="1"/>
  <c r="I306" i="1"/>
  <c r="I1981" i="1"/>
  <c r="I2004" i="1"/>
  <c r="I542" i="1"/>
  <c r="I1951" i="1"/>
  <c r="I911" i="1"/>
  <c r="I267" i="1"/>
  <c r="I1048" i="1"/>
  <c r="I2401" i="1"/>
  <c r="I2259" i="1"/>
  <c r="I1323" i="1"/>
  <c r="I879" i="1"/>
  <c r="I1446" i="1"/>
  <c r="I596" i="1"/>
  <c r="I1516" i="1"/>
  <c r="I2489" i="1"/>
  <c r="I2415" i="1"/>
  <c r="I2292" i="1"/>
  <c r="I613" i="1"/>
  <c r="I131" i="1"/>
  <c r="I1030" i="1"/>
  <c r="I1163" i="1"/>
  <c r="I1164" i="1"/>
  <c r="I2308" i="1"/>
  <c r="I1632" i="1"/>
  <c r="I2043" i="1"/>
  <c r="I478" i="1"/>
  <c r="I1602" i="1"/>
  <c r="I1332" i="1"/>
  <c r="I2494" i="1"/>
  <c r="I871" i="1"/>
  <c r="I1342" i="1"/>
  <c r="I2237" i="1"/>
  <c r="I2193" i="1"/>
  <c r="I2349" i="1"/>
  <c r="I988" i="1"/>
  <c r="I657" i="1"/>
  <c r="I2451" i="1"/>
  <c r="I2055" i="1"/>
  <c r="I1180" i="1"/>
  <c r="I1865" i="1"/>
  <c r="I1970" i="1"/>
  <c r="I719" i="1"/>
  <c r="I2386" i="1"/>
  <c r="I1432" i="1"/>
  <c r="I2225" i="1"/>
  <c r="I763" i="1"/>
  <c r="I1721" i="1"/>
  <c r="I1047" i="1"/>
  <c r="I1469" i="1"/>
  <c r="I1217" i="1"/>
  <c r="I288" i="1"/>
  <c r="I607" i="1"/>
  <c r="I1483" i="1"/>
  <c r="I1978" i="1"/>
  <c r="I2177" i="1"/>
  <c r="I2264" i="1"/>
  <c r="I1350" i="1"/>
  <c r="I1042" i="1"/>
  <c r="I1755" i="1"/>
  <c r="I1988" i="1"/>
  <c r="I1132" i="1"/>
  <c r="I2238" i="1"/>
  <c r="I2300" i="1"/>
  <c r="I755" i="1"/>
  <c r="I1301" i="1"/>
  <c r="I1522" i="1"/>
  <c r="I2128" i="1"/>
  <c r="I2457" i="1"/>
  <c r="I2251" i="1"/>
  <c r="I538" i="1"/>
  <c r="I1227" i="1"/>
  <c r="I2063" i="1"/>
  <c r="I566" i="1"/>
  <c r="I1420" i="1"/>
  <c r="I778" i="1"/>
  <c r="I1709" i="1"/>
  <c r="I1374" i="1"/>
  <c r="I1394" i="1"/>
  <c r="I1757" i="1"/>
  <c r="I2252" i="1"/>
  <c r="I2216" i="1"/>
  <c r="I1614" i="1"/>
  <c r="I291" i="1"/>
  <c r="I1742" i="1"/>
  <c r="I2419" i="1"/>
  <c r="I1881" i="1"/>
  <c r="I749" i="1"/>
  <c r="I654" i="1"/>
  <c r="I2057" i="1"/>
  <c r="I2084" i="1"/>
  <c r="I1220" i="1"/>
  <c r="I630" i="1"/>
  <c r="I1523" i="1"/>
  <c r="I1404" i="1"/>
  <c r="I666" i="1"/>
  <c r="I1815" i="1"/>
  <c r="I1771" i="1"/>
  <c r="I1996" i="1"/>
  <c r="I1571" i="1"/>
  <c r="I290" i="1"/>
  <c r="I2331" i="1"/>
  <c r="I881" i="1"/>
  <c r="I576" i="1"/>
  <c r="I2350" i="1"/>
  <c r="I1555" i="1"/>
  <c r="I1307" i="1"/>
  <c r="I1433" i="1"/>
  <c r="I2473" i="1"/>
  <c r="I2330" i="1"/>
  <c r="I38" i="1"/>
  <c r="I893" i="1"/>
  <c r="I567" i="1"/>
  <c r="I2187" i="1"/>
  <c r="I180" i="1"/>
  <c r="I588" i="1"/>
  <c r="I2158" i="1"/>
  <c r="I969" i="1"/>
  <c r="I1472" i="1"/>
  <c r="I1454" i="1"/>
  <c r="I1606" i="1"/>
  <c r="I951" i="1"/>
  <c r="I150" i="1"/>
  <c r="I123" i="1"/>
  <c r="I16" i="1"/>
  <c r="I2355" i="1"/>
  <c r="I1828" i="1"/>
  <c r="I1265" i="1"/>
  <c r="I1095" i="1"/>
  <c r="I309" i="1"/>
  <c r="I316" i="1"/>
  <c r="I1043" i="1"/>
  <c r="I296" i="1"/>
  <c r="I461" i="1"/>
  <c r="I2041" i="1"/>
  <c r="I416" i="1"/>
  <c r="I213" i="1"/>
  <c r="I2006" i="1"/>
  <c r="I2047" i="1"/>
  <c r="I265" i="1"/>
  <c r="I578" i="1"/>
  <c r="I565" i="1"/>
  <c r="I1044" i="1"/>
  <c r="I210" i="1"/>
  <c r="I1867" i="1"/>
  <c r="I801" i="1"/>
  <c r="I827" i="1"/>
  <c r="I950" i="1"/>
  <c r="I500" i="1"/>
  <c r="I546" i="1"/>
  <c r="I653" i="1"/>
  <c r="I2020" i="1"/>
  <c r="I2044" i="1"/>
  <c r="I529" i="1"/>
  <c r="I69" i="1"/>
  <c r="I486" i="1"/>
  <c r="I2323" i="1"/>
  <c r="I917" i="1"/>
  <c r="I2363" i="1"/>
  <c r="I176" i="1"/>
  <c r="I1823" i="1"/>
  <c r="I2000" i="1"/>
  <c r="I2243" i="1"/>
  <c r="I289" i="1"/>
  <c r="I2461" i="1"/>
  <c r="I754" i="1"/>
  <c r="I1204" i="1"/>
  <c r="I1278" i="1"/>
  <c r="I285" i="1"/>
  <c r="I1421" i="1"/>
  <c r="I1598" i="1"/>
  <c r="I2409" i="1"/>
  <c r="I1722" i="1"/>
  <c r="I1359" i="1"/>
  <c r="I1672" i="1"/>
  <c r="I615" i="1"/>
  <c r="I1294" i="1"/>
  <c r="I249" i="1"/>
  <c r="I1664" i="1"/>
  <c r="I900" i="1"/>
  <c r="I1290" i="1"/>
  <c r="I1390" i="1"/>
  <c r="I711" i="1"/>
  <c r="I2014" i="1"/>
  <c r="I2373" i="1"/>
  <c r="I1462" i="1"/>
  <c r="I2271" i="1"/>
  <c r="I2074" i="1"/>
  <c r="I1905" i="1"/>
  <c r="I406" i="1"/>
  <c r="I480" i="1"/>
  <c r="I1810" i="1"/>
  <c r="I1322" i="1"/>
  <c r="I1355" i="1"/>
  <c r="I2327" i="1"/>
  <c r="I2162" i="1"/>
  <c r="I1319" i="1"/>
  <c r="I648" i="1"/>
  <c r="I1069" i="1"/>
  <c r="I1478" i="1"/>
  <c r="I2440" i="1"/>
  <c r="I1418" i="1"/>
  <c r="I1363" i="1"/>
  <c r="I770" i="1"/>
  <c r="I1630" i="1"/>
  <c r="I585" i="1"/>
  <c r="I1426" i="1"/>
  <c r="I88" i="1"/>
  <c r="I1819" i="1"/>
  <c r="I1284" i="1"/>
  <c r="I81" i="1"/>
  <c r="I977" i="1"/>
  <c r="I70" i="1"/>
  <c r="I920" i="1"/>
  <c r="I443" i="1"/>
  <c r="I2088" i="1"/>
  <c r="I1935" i="1"/>
  <c r="I400" i="1"/>
  <c r="I996" i="1"/>
  <c r="I105" i="1"/>
  <c r="I72" i="1"/>
  <c r="I2455" i="1"/>
  <c r="I1846" i="1"/>
  <c r="I12" i="1"/>
  <c r="I1443" i="1"/>
  <c r="I1148" i="1"/>
  <c r="I1550" i="1"/>
  <c r="I139" i="1"/>
  <c r="I2011" i="1"/>
  <c r="I1765" i="1"/>
  <c r="I837" i="1"/>
  <c r="I1435" i="1"/>
  <c r="I2137" i="1"/>
  <c r="I227" i="1"/>
  <c r="I80" i="1"/>
  <c r="I391" i="1"/>
  <c r="I460" i="1"/>
  <c r="I36" i="1"/>
  <c r="I2375" i="1"/>
  <c r="I1862" i="1"/>
  <c r="I1796" i="1"/>
  <c r="I425" i="1"/>
  <c r="I974" i="1"/>
  <c r="I2178" i="1"/>
  <c r="I1295" i="1"/>
  <c r="I1932" i="1"/>
  <c r="I593" i="1"/>
  <c r="I448" i="1"/>
  <c r="I98" i="1"/>
  <c r="I42" i="1"/>
  <c r="I880" i="1"/>
  <c r="I692" i="1"/>
  <c r="I792" i="1"/>
  <c r="I1624" i="1"/>
  <c r="I1062" i="1"/>
  <c r="I1734" i="1"/>
  <c r="I1310" i="1"/>
  <c r="I757" i="1"/>
  <c r="I730" i="1"/>
  <c r="I627" i="1"/>
  <c r="I1926" i="1"/>
  <c r="I1702" i="1"/>
  <c r="I814" i="1"/>
  <c r="I1392" i="1"/>
  <c r="I1594" i="1"/>
  <c r="I717" i="1"/>
  <c r="I2301" i="1"/>
  <c r="I699" i="1"/>
  <c r="I841" i="1"/>
  <c r="I293" i="1"/>
  <c r="I2353" i="1"/>
  <c r="I586" i="1"/>
  <c r="I85" i="1"/>
  <c r="I140" i="1"/>
  <c r="I983" i="1"/>
  <c r="I2437" i="1"/>
  <c r="I3" i="1"/>
  <c r="I1671" i="1"/>
  <c r="I1568" i="1"/>
  <c r="I2058" i="1"/>
  <c r="I1681" i="1"/>
  <c r="I2286" i="1"/>
  <c r="I1929" i="1"/>
  <c r="I1504" i="1"/>
  <c r="I2202" i="1"/>
  <c r="I1708" i="1"/>
  <c r="I1837" i="1"/>
  <c r="I272" i="1"/>
  <c r="I1337" i="1"/>
  <c r="I737" i="1"/>
  <c r="I324" i="1"/>
  <c r="I1084" i="1"/>
  <c r="I194" i="1"/>
  <c r="I1070" i="1"/>
  <c r="I1868" i="1"/>
  <c r="I1845" i="1"/>
  <c r="I1129" i="1"/>
  <c r="I2311" i="1"/>
  <c r="I135" i="1"/>
  <c r="I1067" i="1"/>
  <c r="I1540" i="1"/>
  <c r="I2470" i="1"/>
  <c r="I838" i="1"/>
  <c r="I357" i="1"/>
  <c r="I1408" i="1"/>
  <c r="I2102" i="1"/>
  <c r="I935" i="1"/>
  <c r="I2268" i="1"/>
  <c r="I697" i="1"/>
  <c r="I1535" i="1"/>
  <c r="I195" i="1"/>
  <c r="I2118" i="1"/>
  <c r="I2254" i="1"/>
  <c r="I380" i="1"/>
  <c r="I1151" i="1"/>
  <c r="I2010" i="1"/>
  <c r="I941" i="1"/>
  <c r="I1166" i="1"/>
  <c r="I973" i="1"/>
  <c r="I1037" i="1"/>
  <c r="I1059" i="1"/>
  <c r="I1715" i="1"/>
  <c r="I250" i="1"/>
  <c r="I563" i="1"/>
  <c r="I1848" i="1"/>
  <c r="I1409" i="1"/>
  <c r="I1379" i="1"/>
  <c r="I2404" i="1"/>
  <c r="I1414" i="1"/>
  <c r="I1410" i="1"/>
  <c r="I751" i="1"/>
  <c r="I1924" i="1"/>
  <c r="I1858" i="1"/>
  <c r="I1340" i="1"/>
  <c r="I1533" i="1"/>
  <c r="I2334" i="1"/>
  <c r="I2398" i="1"/>
  <c r="I1773" i="1"/>
  <c r="I1691" i="1"/>
  <c r="I2077" i="1"/>
  <c r="I1963" i="1"/>
  <c r="I768" i="1"/>
  <c r="I2354" i="1"/>
  <c r="I10" i="1"/>
  <c r="I48" i="1"/>
  <c r="I907" i="1"/>
  <c r="I1012" i="1"/>
  <c r="I110" i="1"/>
  <c r="I2025" i="1"/>
  <c r="I681" i="1"/>
  <c r="I1667" i="1"/>
  <c r="I2124" i="1"/>
  <c r="I43" i="1"/>
  <c r="I2002" i="1"/>
  <c r="I1527" i="1"/>
  <c r="I229" i="1"/>
  <c r="I2146" i="1"/>
  <c r="I100" i="1"/>
  <c r="I857" i="1"/>
  <c r="I26" i="1"/>
  <c r="I1597" i="1"/>
  <c r="I1122" i="1"/>
  <c r="I1832" i="1"/>
  <c r="I146" i="1"/>
  <c r="I2103" i="1"/>
  <c r="I913" i="1"/>
  <c r="I560" i="1"/>
  <c r="I990" i="1"/>
  <c r="I2481" i="1"/>
  <c r="I908" i="1"/>
  <c r="I1919" i="1"/>
  <c r="I625" i="1"/>
  <c r="I505" i="1"/>
  <c r="I2265" i="1"/>
  <c r="I1213" i="1"/>
  <c r="I2135" i="1"/>
  <c r="I63" i="1"/>
  <c r="I1893" i="1"/>
  <c r="I2061" i="1"/>
  <c r="I2165" i="1"/>
  <c r="I116" i="1"/>
  <c r="I2368" i="1"/>
  <c r="I2069" i="1"/>
  <c r="I1831" i="1"/>
  <c r="I760" i="1"/>
  <c r="I453" i="1"/>
  <c r="I807" i="1"/>
  <c r="I223" i="1"/>
  <c r="I225" i="1"/>
  <c r="I90" i="1"/>
  <c r="I1714" i="1"/>
  <c r="I404" i="1"/>
  <c r="I958" i="1"/>
  <c r="I1083" i="1"/>
  <c r="I374" i="1"/>
  <c r="I691" i="1"/>
  <c r="I905" i="1"/>
  <c r="I1670" i="1"/>
  <c r="I2089" i="1"/>
  <c r="I2113" i="1"/>
  <c r="I954" i="1"/>
  <c r="I2046" i="1"/>
  <c r="I1480" i="1"/>
  <c r="I2465" i="1"/>
  <c r="I1314" i="1"/>
  <c r="I765" i="1"/>
  <c r="I17" i="1"/>
  <c r="I125" i="1"/>
  <c r="I740" i="1"/>
  <c r="I151" i="1"/>
  <c r="I1997" i="1"/>
  <c r="I659" i="1"/>
  <c r="I132" i="1"/>
  <c r="I2362" i="1"/>
  <c r="I1431" i="1"/>
  <c r="I1686" i="1"/>
  <c r="I1800" i="1"/>
  <c r="I1824" i="1"/>
  <c r="I1167" i="1"/>
  <c r="I276" i="1"/>
  <c r="I557" i="1"/>
  <c r="I1603" i="1"/>
  <c r="I1719" i="1"/>
  <c r="I1530" i="1"/>
  <c r="I222" i="1"/>
  <c r="I2391" i="1"/>
  <c r="I606" i="1"/>
  <c r="I2288" i="1"/>
  <c r="I1388" i="1"/>
  <c r="I516" i="1"/>
  <c r="I264" i="1"/>
  <c r="I1880" i="1"/>
  <c r="I21" i="1"/>
  <c r="I523" i="1"/>
  <c r="I1102" i="1"/>
  <c r="I1589" i="1"/>
  <c r="I1610" i="1"/>
  <c r="I1659" i="1"/>
  <c r="I1549" i="1"/>
  <c r="I1917" i="1"/>
  <c r="I177" i="1"/>
  <c r="I175" i="1"/>
  <c r="I761" i="1"/>
  <c r="I498" i="1"/>
  <c r="I859" i="1"/>
  <c r="I1281" i="1"/>
  <c r="I1621" i="1"/>
  <c r="I1243" i="1"/>
  <c r="I2049" i="1"/>
  <c r="I1612" i="1"/>
  <c r="I1687" i="1"/>
  <c r="I1666" i="1"/>
  <c r="I2476" i="1"/>
  <c r="I1325" i="1"/>
  <c r="I2396" i="1"/>
  <c r="I1661" i="1"/>
  <c r="I1339" i="1"/>
  <c r="I2399" i="1"/>
  <c r="I984" i="1"/>
  <c r="I2469" i="1"/>
  <c r="I562" i="1"/>
  <c r="I2235" i="1"/>
  <c r="I1005" i="1"/>
  <c r="I1289" i="1"/>
  <c r="I612" i="1"/>
  <c r="I1058" i="1"/>
  <c r="I2212" i="1"/>
  <c r="I1071" i="1"/>
  <c r="I1582" i="1"/>
  <c r="I1797" i="1"/>
  <c r="I2245" i="1"/>
  <c r="I600" i="1"/>
  <c r="I1178" i="1"/>
  <c r="I1945" i="1"/>
  <c r="I2270" i="1"/>
  <c r="I1488" i="1"/>
  <c r="I2255" i="1"/>
  <c r="I1398" i="1"/>
  <c r="I2017" i="1"/>
  <c r="I2335" i="1"/>
  <c r="I231" i="1"/>
  <c r="I2181" i="1"/>
  <c r="I2274" i="1"/>
  <c r="I1427" i="1"/>
  <c r="I1272" i="1"/>
  <c r="I531" i="1"/>
  <c r="I1442" i="1"/>
  <c r="I1634" i="1"/>
  <c r="I520" i="1"/>
  <c r="I826" i="1"/>
  <c r="I571" i="1"/>
  <c r="I1185" i="1"/>
  <c r="I2424" i="1"/>
  <c r="I786" i="1"/>
  <c r="I434" i="1"/>
  <c r="I2117" i="1"/>
  <c r="I2453" i="1"/>
  <c r="I1909" i="1"/>
  <c r="I1165" i="1"/>
  <c r="I1878" i="1"/>
  <c r="I1303" i="1"/>
  <c r="I1407" i="1"/>
  <c r="I1466" i="1"/>
  <c r="I1871" i="1"/>
  <c r="I1302" i="1"/>
  <c r="I922" i="1"/>
  <c r="I1361" i="1"/>
  <c r="I854" i="1"/>
  <c r="I170" i="1"/>
  <c r="I1117" i="1"/>
  <c r="I1002" i="1"/>
  <c r="I2443" i="1"/>
  <c r="I2163" i="1"/>
  <c r="I2357" i="1"/>
  <c r="I2081" i="1"/>
  <c r="I2336" i="1"/>
  <c r="I351" i="1"/>
  <c r="I611" i="1"/>
  <c r="I1133" i="1"/>
  <c r="I1430" i="1"/>
  <c r="I349" i="1"/>
  <c r="I1669" i="1"/>
  <c r="I2050" i="1"/>
  <c r="I1108" i="1"/>
  <c r="I1003" i="1"/>
  <c r="I1312" i="1"/>
  <c r="I579" i="1"/>
  <c r="I1086" i="1"/>
  <c r="I1068" i="1"/>
  <c r="I2167" i="1"/>
  <c r="I2280" i="1"/>
  <c r="I1485" i="1"/>
  <c r="I2307" i="1"/>
  <c r="I2035" i="1"/>
  <c r="I348" i="1"/>
  <c r="I1861" i="1"/>
  <c r="I758" i="1"/>
  <c r="I1731" i="1"/>
  <c r="I1455" i="1"/>
  <c r="I1088" i="1"/>
  <c r="I1100" i="1"/>
  <c r="I174" i="1"/>
  <c r="I2087" i="1"/>
  <c r="I932" i="1"/>
  <c r="I1481" i="1"/>
  <c r="I1376" i="1"/>
  <c r="I1473" i="1"/>
  <c r="I251" i="1"/>
  <c r="I2119" i="1"/>
  <c r="I2294" i="1"/>
  <c r="I1528" i="1"/>
  <c r="I1448" i="1"/>
  <c r="I558" i="1"/>
  <c r="I1756" i="1"/>
  <c r="I238" i="1"/>
  <c r="I2426" i="1"/>
  <c r="I776" i="1"/>
  <c r="I2290" i="1"/>
  <c r="I1091" i="1"/>
  <c r="I1345" i="1"/>
  <c r="I1090" i="1"/>
  <c r="I2051" i="1"/>
  <c r="I790" i="1"/>
  <c r="I2339" i="1"/>
  <c r="I1781" i="1"/>
  <c r="I2278" i="1"/>
  <c r="I2064" i="1"/>
  <c r="I2190" i="1"/>
  <c r="I1733" i="1"/>
  <c r="I927" i="1"/>
  <c r="I2340" i="1"/>
  <c r="I1464" i="1"/>
  <c r="I2412" i="1"/>
  <c r="I1638" i="1"/>
  <c r="I1234" i="1"/>
  <c r="I392" i="1"/>
  <c r="I1619" i="1"/>
  <c r="I1216" i="1"/>
  <c r="I1538" i="1"/>
  <c r="I635" i="1"/>
  <c r="I1000" i="1"/>
  <c r="I1943" i="1"/>
  <c r="I832" i="1"/>
  <c r="I2329" i="1"/>
  <c r="I828" i="1"/>
  <c r="I1805" i="1"/>
  <c r="I1006" i="1"/>
  <c r="I1308" i="1"/>
  <c r="I2062" i="1"/>
  <c r="I1959" i="1"/>
  <c r="I1762" i="1"/>
  <c r="I1928" i="1"/>
  <c r="I815" i="1"/>
  <c r="I885" i="1"/>
  <c r="I1305" i="1"/>
  <c r="I1898" i="1"/>
  <c r="I1099" i="1"/>
  <c r="I1673" i="1"/>
  <c r="I126" i="1"/>
  <c r="I1548" i="1"/>
  <c r="I851" i="1"/>
  <c r="I242" i="1"/>
  <c r="I1107" i="1"/>
  <c r="I1317" i="1"/>
  <c r="I2227" i="1"/>
  <c r="I1453" i="1"/>
  <c r="I338" i="1"/>
  <c r="I2388" i="1"/>
  <c r="I1326" i="1"/>
  <c r="I796" i="1"/>
  <c r="I1985" i="1"/>
  <c r="I2133" i="1"/>
  <c r="I449" i="1"/>
  <c r="I482" i="1"/>
  <c r="I445" i="1"/>
  <c r="I1648" i="1"/>
  <c r="I2018" i="1"/>
  <c r="I806" i="1"/>
  <c r="I858" i="1"/>
  <c r="I2250" i="1"/>
  <c r="I1508" i="1"/>
  <c r="I684" i="1"/>
  <c r="I817" i="1"/>
  <c r="I2143" i="1"/>
  <c r="I2496" i="1"/>
  <c r="I1051" i="1"/>
  <c r="I112" i="1"/>
  <c r="I928" i="1"/>
  <c r="I2260" i="1"/>
  <c r="I372" i="1"/>
  <c r="I507" i="1"/>
  <c r="I1821" i="1"/>
  <c r="I537" i="1"/>
  <c r="I1429" i="1"/>
  <c r="I910" i="1"/>
  <c r="I370" i="1"/>
  <c r="I1574" i="1"/>
  <c r="I1128" i="1"/>
  <c r="I221" i="1"/>
  <c r="I2068" i="1"/>
  <c r="I2221" i="1"/>
  <c r="I1123" i="1"/>
  <c r="I553" i="1"/>
  <c r="I2170" i="1"/>
  <c r="I971" i="1"/>
  <c r="I1629" i="1"/>
  <c r="I2125" i="1"/>
  <c r="I2218" i="1"/>
  <c r="I1110" i="1"/>
  <c r="I1153" i="1"/>
  <c r="I2450" i="1"/>
  <c r="I216" i="1"/>
  <c r="I1843" i="1"/>
  <c r="I783" i="1"/>
  <c r="I568" i="1"/>
  <c r="I2166" i="1"/>
  <c r="I1635" i="1"/>
  <c r="I2065" i="1"/>
  <c r="I1744" i="1"/>
  <c r="I477" i="1"/>
  <c r="I886" i="1"/>
  <c r="I1519" i="1"/>
  <c r="I211" i="1"/>
  <c r="I1662" i="1"/>
  <c r="I772" i="1"/>
  <c r="I2130" i="1"/>
  <c r="I1119" i="1"/>
  <c r="I47" i="1"/>
  <c r="I503" i="1"/>
  <c r="I856" i="1"/>
  <c r="I2420" i="1"/>
  <c r="I1299" i="1"/>
  <c r="I2364" i="1"/>
  <c r="I876" i="1"/>
  <c r="I2369" i="1"/>
  <c r="I1147" i="1"/>
  <c r="I1140" i="1"/>
  <c r="I1637" i="1"/>
  <c r="I1497" i="1"/>
  <c r="I605" i="1"/>
  <c r="I1723" i="1"/>
  <c r="I1850" i="1"/>
  <c r="I1161" i="1"/>
  <c r="I1847" i="1"/>
  <c r="I2495" i="1"/>
  <c r="I993" i="1"/>
  <c r="I2361" i="1"/>
  <c r="I484" i="1"/>
  <c r="I2463" i="1"/>
  <c r="I540" i="1"/>
  <c r="I610" i="1"/>
  <c r="I2082" i="1"/>
  <c r="I1801" i="1"/>
  <c r="I2348" i="1"/>
  <c r="I2228" i="1"/>
  <c r="I4" i="1"/>
  <c r="I2392" i="1"/>
  <c r="I2405" i="1"/>
  <c r="I1631" i="1"/>
  <c r="I704" i="1"/>
  <c r="I2071" i="1"/>
  <c r="I2241" i="1"/>
  <c r="I320" i="1"/>
  <c r="I369" i="1"/>
  <c r="I678" i="1"/>
  <c r="I2194" i="1"/>
  <c r="I2022" i="1"/>
  <c r="I1267" i="1"/>
  <c r="I899" i="1"/>
  <c r="I1904" i="1"/>
  <c r="I257" i="1"/>
  <c r="I1766" i="1"/>
  <c r="I1705" i="1"/>
  <c r="I411" i="1"/>
  <c r="I1184" i="1"/>
  <c r="I733" i="1"/>
  <c r="I573" i="1"/>
  <c r="I764" i="1"/>
  <c r="I439" i="1"/>
  <c r="I115" i="1"/>
  <c r="I581" i="1"/>
  <c r="I715" i="1"/>
  <c r="I1617" i="1"/>
  <c r="I1229" i="1"/>
  <c r="I1324" i="1"/>
  <c r="I665" i="1"/>
  <c r="I2282" i="1"/>
  <c r="I1425" i="1"/>
  <c r="I584" i="1"/>
  <c r="I328" i="1"/>
  <c r="I2318" i="1"/>
  <c r="I363" i="1"/>
  <c r="I1171" i="1"/>
  <c r="I196" i="1"/>
  <c r="I1854" i="1"/>
  <c r="I2080" i="1"/>
  <c r="I930" i="1"/>
  <c r="I869" i="1"/>
  <c r="I1676" i="1"/>
  <c r="I587" i="1"/>
  <c r="I1704" i="1"/>
  <c r="I813" i="1"/>
  <c r="I1321" i="1"/>
  <c r="I1143" i="1"/>
  <c r="I149" i="1"/>
  <c r="I385" i="1"/>
  <c r="I1891" i="1"/>
  <c r="I1947" i="1"/>
  <c r="I1789" i="1"/>
  <c r="I2005" i="1"/>
  <c r="I2196" i="1"/>
  <c r="I1506" i="1"/>
  <c r="I1961" i="1"/>
  <c r="I1633" i="1"/>
  <c r="I1492" i="1"/>
  <c r="I1367" i="1"/>
  <c r="I1826" i="1"/>
  <c r="I1505" i="1"/>
  <c r="I1304" i="1"/>
  <c r="I940" i="1"/>
  <c r="I1509" i="1"/>
  <c r="I811" i="1"/>
  <c r="I2179" i="1"/>
  <c r="I2078" i="1"/>
  <c r="I1257" i="1"/>
  <c r="I2148" i="1"/>
  <c r="I465" i="1"/>
  <c r="I598" i="1"/>
  <c r="I1039" i="1"/>
  <c r="I511" i="1"/>
  <c r="I171" i="1"/>
  <c r="I2272" i="1"/>
  <c r="I2366" i="1"/>
  <c r="I220" i="1"/>
  <c r="I2383" i="1"/>
  <c r="I504" i="1"/>
  <c r="I2411" i="1"/>
  <c r="I1570" i="1"/>
  <c r="I1199" i="1"/>
  <c r="I23" i="1"/>
  <c r="I2131" i="1"/>
  <c r="I1954" i="1"/>
  <c r="I1066" i="1"/>
  <c r="I846" i="1"/>
  <c r="I261" i="1"/>
  <c r="I1886" i="1"/>
  <c r="I1445" i="1"/>
  <c r="I616" i="1"/>
  <c r="I1739" i="1"/>
  <c r="I2066" i="1"/>
  <c r="I1693" i="1"/>
  <c r="I258" i="1"/>
  <c r="I2174" i="1"/>
  <c r="I781" i="1"/>
  <c r="I939" i="1"/>
  <c r="I660" i="1"/>
  <c r="I1124" i="1"/>
  <c r="I2423" i="1"/>
  <c r="I2223" i="1"/>
  <c r="I1354" i="1"/>
  <c r="I773" i="1"/>
  <c r="I1944" i="1"/>
  <c r="I1655" i="1"/>
  <c r="I901" i="1"/>
  <c r="I705" i="1"/>
  <c r="I1623" i="1"/>
  <c r="I376" i="1"/>
  <c r="I1912" i="1"/>
  <c r="I2320" i="1"/>
  <c r="I1964" i="1"/>
  <c r="I198" i="1"/>
  <c r="I549" i="1"/>
  <c r="I2397" i="1"/>
  <c r="I1189" i="1"/>
  <c r="I108" i="1"/>
  <c r="I1494" i="1"/>
  <c r="I359" i="1"/>
  <c r="I2208" i="1"/>
  <c r="I2484" i="1"/>
  <c r="I1447" i="1"/>
  <c r="I1658" i="1"/>
  <c r="I2021" i="1"/>
  <c r="I467" i="1"/>
  <c r="I9" i="1"/>
  <c r="I1179" i="1"/>
  <c r="I1971" i="1"/>
  <c r="I305" i="1"/>
  <c r="I2210" i="1"/>
  <c r="I167" i="1"/>
  <c r="I1934" i="1"/>
  <c r="I75" i="1"/>
  <c r="I492" i="1"/>
  <c r="I483" i="1"/>
  <c r="I2147" i="1"/>
  <c r="I496" i="1"/>
  <c r="I2467" i="1"/>
  <c r="I1956" i="1"/>
  <c r="I2244" i="1"/>
  <c r="I2444" i="1"/>
  <c r="I1251" i="1"/>
  <c r="I1401" i="1"/>
  <c r="I895" i="1"/>
  <c r="I1609" i="1"/>
  <c r="I107" i="1"/>
  <c r="I1812" i="1"/>
  <c r="I1280" i="1"/>
  <c r="I1089" i="1"/>
  <c r="I1566" i="1"/>
  <c r="I2114" i="1"/>
  <c r="I2" i="1"/>
  <c r="I299" i="1"/>
  <c r="I277" i="1"/>
  <c r="I337" i="1"/>
  <c r="I1011" i="1"/>
  <c r="I1599" i="1"/>
  <c r="I1256" i="1"/>
  <c r="I278" i="1"/>
  <c r="I623" i="1"/>
  <c r="I1502" i="1"/>
  <c r="I1642" i="1"/>
  <c r="I1271" i="1"/>
  <c r="I1817" i="1"/>
  <c r="I1596" i="1"/>
  <c r="I1532" i="1"/>
  <c r="I1984" i="1"/>
  <c r="I2326" i="1"/>
  <c r="I1999" i="1"/>
  <c r="I159" i="1"/>
  <c r="I1750" i="1"/>
  <c r="I1507" i="1"/>
  <c r="I2454" i="1"/>
  <c r="I725" i="1"/>
  <c r="I1437" i="1"/>
  <c r="I2322" i="1"/>
  <c r="I989" i="1"/>
  <c r="I2108" i="1"/>
  <c r="I1419" i="1"/>
  <c r="I2430" i="1"/>
  <c r="I1892" i="1"/>
  <c r="I1268" i="1"/>
  <c r="I1556" i="1"/>
  <c r="I1816" i="1"/>
  <c r="I1804" i="1"/>
  <c r="I624" i="1"/>
  <c r="I1783" i="1"/>
  <c r="I450" i="1"/>
  <c r="I1613" i="1"/>
  <c r="I457" i="1"/>
  <c r="I689" i="1"/>
  <c r="I551" i="1"/>
  <c r="I2168" i="1"/>
  <c r="I485" i="1"/>
  <c r="I1250" i="1"/>
  <c r="I212" i="1"/>
  <c r="I1193" i="1"/>
  <c r="I1223" i="1"/>
  <c r="I2478" i="1"/>
  <c r="I1500" i="1"/>
  <c r="I1372" i="1"/>
  <c r="I809" i="1"/>
  <c r="I532" i="1"/>
  <c r="I849" i="1"/>
  <c r="I2157" i="1"/>
  <c r="I2144" i="1"/>
  <c r="I2056" i="1"/>
  <c r="I1244" i="1"/>
  <c r="I2310" i="1"/>
  <c r="I735" i="1"/>
  <c r="I937" i="1"/>
  <c r="I887" i="1"/>
  <c r="I1517" i="1"/>
  <c r="I1423" i="1"/>
  <c r="I447" i="1"/>
  <c r="I2276" i="1"/>
  <c r="I2029" i="1"/>
  <c r="I637" i="1"/>
  <c r="I995" i="1"/>
  <c r="I700" i="1"/>
  <c r="I1657" i="1"/>
  <c r="I1876" i="1"/>
  <c r="I1334" i="1"/>
  <c r="I1103" i="1"/>
  <c r="I2380" i="1"/>
  <c r="I2026" i="1"/>
  <c r="I1097" i="1"/>
  <c r="I1061" i="1"/>
  <c r="I1852" i="1"/>
  <c r="I1931" i="1"/>
  <c r="I1972" i="1"/>
  <c r="I2019" i="1"/>
  <c r="I961" i="1"/>
  <c r="I1316" i="1"/>
  <c r="I1415" i="1"/>
  <c r="I1856" i="1"/>
  <c r="I1564" i="1"/>
  <c r="I1885" i="1"/>
  <c r="I1053" i="1"/>
  <c r="I2434" i="1"/>
  <c r="I2070" i="1"/>
  <c r="I373" i="1"/>
  <c r="I246" i="1"/>
  <c r="I561" i="1"/>
  <c r="I129" i="1"/>
  <c r="I1677" i="1"/>
  <c r="I1982" i="1"/>
  <c r="I93" i="1"/>
  <c r="I202" i="1"/>
  <c r="I1154" i="1"/>
  <c r="I2389" i="1"/>
  <c r="I2480" i="1"/>
  <c r="I2215" i="1"/>
  <c r="I1246" i="1"/>
  <c r="I1207" i="1"/>
  <c r="I1385" i="1"/>
  <c r="I2230" i="1"/>
  <c r="I1210" i="1"/>
  <c r="I2446" i="1"/>
  <c r="I2309" i="1"/>
  <c r="I1145" i="1"/>
  <c r="I2207" i="1"/>
  <c r="I1994" i="1"/>
  <c r="I87" i="1"/>
  <c r="I634" i="1"/>
  <c r="I2231" i="1"/>
  <c r="I1194" i="1"/>
  <c r="I1592" i="1"/>
  <c r="I1456" i="1"/>
  <c r="I2338" i="1"/>
  <c r="I1937" i="1"/>
  <c r="I860" i="1"/>
  <c r="I319" i="1"/>
  <c r="I345" i="1"/>
  <c r="I2090" i="1"/>
  <c r="I1588" i="1"/>
  <c r="I1130" i="1"/>
  <c r="I2092" i="1"/>
  <c r="I919" i="1"/>
  <c r="I1311" i="1"/>
  <c r="I2222" i="1"/>
  <c r="I1082" i="1"/>
  <c r="I2053" i="1"/>
  <c r="I2173" i="1"/>
  <c r="I693" i="1"/>
  <c r="I1253" i="1"/>
  <c r="I888" i="1"/>
  <c r="I931" i="1"/>
  <c r="I1230" i="1"/>
  <c r="I1604" i="1"/>
  <c r="I1707" i="1"/>
  <c r="I821" i="1"/>
  <c r="I2180" i="1"/>
  <c r="I1173" i="1"/>
  <c r="I1684" i="1"/>
  <c r="I1879" i="1"/>
  <c r="I360" i="1"/>
  <c r="I2048" i="1"/>
  <c r="I1798" i="1"/>
  <c r="I2134" i="1"/>
  <c r="I458" i="1"/>
  <c r="I2413" i="1"/>
  <c r="I185" i="1"/>
  <c r="I1139" i="1"/>
  <c r="I2374" i="1"/>
  <c r="I2471" i="1"/>
  <c r="I190" i="1"/>
  <c r="I1890" i="1"/>
  <c r="I1486" i="1"/>
  <c r="I2099" i="1"/>
  <c r="I1406" i="1"/>
  <c r="I2129" i="1"/>
  <c r="I2468" i="1"/>
  <c r="I2432" i="1"/>
  <c r="I2138" i="1"/>
  <c r="I1818" i="1"/>
  <c r="I1729" i="1"/>
  <c r="I279" i="1"/>
  <c r="I322" i="1"/>
  <c r="I1889" i="1"/>
  <c r="I1776" i="1"/>
  <c r="I463" i="1"/>
  <c r="I1521" i="1"/>
  <c r="I2075" i="1"/>
  <c r="I2367" i="1"/>
  <c r="I111" i="1"/>
  <c r="I340" i="1"/>
  <c r="I513" i="1"/>
  <c r="I466" i="1"/>
  <c r="I818" i="1"/>
  <c r="I490" i="1"/>
  <c r="I1417" i="1"/>
  <c r="I582" i="1"/>
  <c r="I1190" i="1"/>
  <c r="I160" i="1"/>
  <c r="I1377" i="1"/>
  <c r="I292" i="1"/>
  <c r="I864" i="1"/>
  <c r="I1651" i="1"/>
  <c r="I1503" i="1"/>
  <c r="I2466" i="1"/>
  <c r="I862" i="1"/>
  <c r="I1869" i="1"/>
  <c r="I1402" i="1"/>
  <c r="I2229" i="1"/>
  <c r="I1560" i="1"/>
  <c r="I1590" i="1"/>
  <c r="I1158" i="1"/>
  <c r="I1563" i="1"/>
  <c r="I1738" i="1"/>
  <c r="I419" i="1"/>
  <c r="I1101" i="1"/>
  <c r="I506" i="1"/>
  <c r="I1333" i="1"/>
  <c r="I1794" i="1"/>
  <c r="I1983" i="1"/>
  <c r="I2239" i="1"/>
  <c r="I1450" i="1"/>
  <c r="I1918" i="1"/>
  <c r="I2024" i="1"/>
  <c r="I1645" i="1"/>
  <c r="I2387" i="1"/>
  <c r="I1608" i="1"/>
  <c r="I1346" i="1"/>
  <c r="I1647" i="1"/>
  <c r="I526" i="1"/>
  <c r="I2416" i="1"/>
  <c r="I2291" i="1"/>
  <c r="I1902" i="1"/>
  <c r="I2097" i="1"/>
  <c r="I1896" i="1"/>
  <c r="I874" i="1"/>
  <c r="I239" i="1"/>
  <c r="I470" i="1"/>
  <c r="I2315" i="1"/>
  <c r="I2284" i="1"/>
  <c r="I1206" i="1"/>
  <c r="I1699" i="1"/>
  <c r="I1625" i="1"/>
  <c r="I1732" i="1"/>
  <c r="I1177" i="1"/>
  <c r="I232" i="1"/>
  <c r="I342" i="1"/>
  <c r="I1792" i="1"/>
  <c r="I1907" i="1"/>
  <c r="I481" i="1"/>
  <c r="I168" i="1"/>
  <c r="I574" i="1"/>
  <c r="I1293" i="1"/>
  <c r="I179" i="1"/>
  <c r="I805" i="1"/>
  <c r="I2076" i="1"/>
  <c r="I378" i="1"/>
  <c r="I39" i="1"/>
  <c r="I65" i="1"/>
  <c r="I2248" i="1"/>
  <c r="I1498" i="1"/>
  <c r="I2325" i="1"/>
  <c r="I1615" i="1"/>
  <c r="I1866" i="1"/>
  <c r="I1728" i="1"/>
  <c r="I1872" i="1"/>
  <c r="I1616" i="1"/>
  <c r="I1713" i="1"/>
  <c r="I1252" i="1"/>
  <c r="I1353" i="1"/>
  <c r="I1537" i="1"/>
  <c r="I2460" i="1"/>
  <c r="I1820" i="1"/>
  <c r="I1341" i="1"/>
  <c r="I866" i="1"/>
  <c r="I1029" i="1"/>
  <c r="I1849" i="1"/>
  <c r="I646" i="1"/>
  <c r="I15" i="1"/>
  <c r="I873" i="1"/>
  <c r="I2402" i="1"/>
  <c r="I1536" i="1"/>
  <c r="I2132" i="1"/>
  <c r="I1759" i="1"/>
  <c r="I366" i="1"/>
  <c r="I2242" i="1"/>
  <c r="I1795" i="1"/>
  <c r="I902" i="1"/>
  <c r="I61" i="1"/>
  <c r="I2497" i="1"/>
  <c r="I915" i="1"/>
  <c r="I2500" i="1"/>
  <c r="I2009" i="1"/>
  <c r="I1004" i="1"/>
  <c r="I1126" i="1"/>
  <c r="I2214" i="1"/>
  <c r="I2240" i="1"/>
  <c r="I1477" i="1"/>
  <c r="I1318" i="1"/>
  <c r="I2486" i="1"/>
  <c r="I655" i="1"/>
  <c r="I489" i="1"/>
  <c r="I641" i="1"/>
  <c r="I2198" i="1"/>
  <c r="I1558" i="1"/>
  <c r="I2316" i="1"/>
  <c r="I1873" i="1"/>
  <c r="I554" i="1"/>
  <c r="I2372" i="1"/>
  <c r="I114" i="1"/>
  <c r="I1915" i="1"/>
  <c r="I1674" i="1"/>
  <c r="I382" i="1"/>
  <c r="I672" i="1"/>
  <c r="I2182" i="1"/>
  <c r="I798" i="1"/>
  <c r="I1839" i="1"/>
  <c r="I1009" i="1"/>
  <c r="I1925" i="1"/>
  <c r="I1511" i="1"/>
  <c r="I1378" i="1"/>
  <c r="I1952" i="1"/>
  <c r="I2031" i="1"/>
  <c r="I1106" i="1"/>
  <c r="I183" i="1"/>
  <c r="I1512" i="1"/>
  <c r="I1254" i="1"/>
  <c r="I1562" i="1"/>
  <c r="I2015" i="1"/>
  <c r="I1720" i="1"/>
  <c r="I2261" i="1"/>
  <c r="I1364" i="1"/>
  <c r="I1727" i="1"/>
  <c r="I2482" i="1"/>
  <c r="I2384" i="1"/>
  <c r="I1461" i="1"/>
  <c r="I1569" i="1"/>
  <c r="I1851" i="1"/>
  <c r="I2410" i="1"/>
  <c r="I57" i="1"/>
  <c r="I1911" i="1"/>
  <c r="I2390" i="1"/>
  <c r="I2033" i="1"/>
  <c r="I1057" i="1"/>
  <c r="I1808" i="1"/>
  <c r="I2001" i="1"/>
  <c r="I1439" i="1"/>
  <c r="I1974" i="1"/>
  <c r="I1689" i="1"/>
  <c r="I1745" i="1"/>
  <c r="I753" i="1"/>
  <c r="I1835" i="1"/>
  <c r="I1601" i="1"/>
  <c r="I1176" i="1"/>
  <c r="I1668" i="1"/>
  <c r="I2267" i="1"/>
  <c r="I1920" i="1"/>
  <c r="I1279" i="1"/>
  <c r="I1403" i="1"/>
  <c r="I1787" i="1"/>
  <c r="I206" i="1"/>
  <c r="I2008" i="1"/>
  <c r="I2487" i="1"/>
  <c r="I1695" i="1"/>
  <c r="I656" i="1"/>
  <c r="I2253" i="1"/>
  <c r="I2120" i="1"/>
  <c r="I2209" i="1"/>
  <c r="I1747" i="1"/>
  <c r="I1660" i="1"/>
  <c r="I823" i="1"/>
  <c r="I1853" i="1"/>
  <c r="I2273" i="1"/>
  <c r="I527" i="1"/>
  <c r="I68" i="1"/>
  <c r="I1149" i="1"/>
  <c r="I2371" i="1"/>
  <c r="I2333" i="1"/>
  <c r="I2136" i="1"/>
  <c r="I944" i="1"/>
  <c r="I29" i="1"/>
  <c r="I27" i="1"/>
  <c r="I142" i="1"/>
  <c r="I1248" i="1"/>
  <c r="I2472" i="1"/>
  <c r="I284" i="1"/>
  <c r="I643" i="1"/>
  <c r="I543" i="1"/>
  <c r="I1320" i="1"/>
  <c r="I1977" i="1"/>
  <c r="I1697" i="1"/>
  <c r="I245" i="1"/>
  <c r="I499" i="1"/>
  <c r="I97" i="1"/>
  <c r="I2337" i="1"/>
  <c r="I1412" i="1"/>
  <c r="I1539" i="1"/>
  <c r="I1371" i="1"/>
  <c r="I2475" i="1"/>
  <c r="I986" i="1"/>
  <c r="I2298" i="1"/>
  <c r="I945" i="1"/>
  <c r="I8" i="1"/>
  <c r="I509" i="1"/>
  <c r="I230" i="1"/>
  <c r="I1449" i="1"/>
  <c r="I113" i="1"/>
  <c r="I1976" i="1"/>
  <c r="I1760" i="1"/>
  <c r="I2442" i="1"/>
  <c r="I1927" i="1"/>
  <c r="I603" i="1"/>
  <c r="I1405" i="1"/>
  <c r="I1665" i="1"/>
  <c r="I1026" i="1"/>
  <c r="I2356" i="1"/>
  <c r="I281" i="1"/>
  <c r="I2302" i="1"/>
  <c r="I1116" i="1"/>
  <c r="I1736" i="1"/>
  <c r="I2007" i="1"/>
  <c r="I2287" i="1"/>
  <c r="I1874" i="1"/>
  <c r="I1495" i="1"/>
  <c r="I965" i="1"/>
  <c r="I1627" i="1"/>
  <c r="I722" i="1"/>
  <c r="I364" i="1"/>
  <c r="I1746" i="1"/>
  <c r="I1092" i="1"/>
  <c r="I1741" i="1"/>
  <c r="I1769" i="1"/>
  <c r="I2406" i="1"/>
  <c r="I358" i="1"/>
  <c r="I1827" i="1"/>
  <c r="I2414" i="1"/>
  <c r="I2445" i="1"/>
  <c r="I1411" i="1"/>
  <c r="I442" i="1"/>
  <c r="I2438" i="1"/>
  <c r="I2206" i="1"/>
  <c r="I426" i="1"/>
  <c r="I473" i="1"/>
  <c r="I1468" i="1"/>
  <c r="I1183" i="1"/>
  <c r="I2150" i="1"/>
  <c r="I1144" i="1"/>
  <c r="I2197" i="1"/>
  <c r="I1174" i="1"/>
  <c r="I2431" i="1"/>
  <c r="I968" i="1"/>
  <c r="I779" i="1"/>
  <c r="I1546" i="1"/>
  <c r="I2341" i="1"/>
  <c r="I824" i="1"/>
  <c r="I2296" i="1"/>
  <c r="I162" i="1"/>
  <c r="I1936" i="1"/>
  <c r="I1643" i="1"/>
  <c r="I444" i="1"/>
  <c r="I89" i="1"/>
  <c r="I1386" i="1"/>
  <c r="I1137" i="1"/>
  <c r="I1605" i="1"/>
  <c r="I524" i="1"/>
  <c r="I943" i="1"/>
  <c r="I1436" i="1"/>
  <c r="I1785" i="1"/>
  <c r="I831" i="1"/>
  <c r="I884" i="1"/>
  <c r="I2352" i="1"/>
  <c r="I2184" i="1"/>
  <c r="I1291" i="1"/>
  <c r="I28" i="1"/>
  <c r="I327" i="1"/>
  <c r="I1085" i="1"/>
  <c r="I1186" i="1"/>
  <c r="I1258" i="1"/>
  <c r="I1514" i="1"/>
  <c r="I138" i="1"/>
  <c r="I2191" i="1"/>
  <c r="I1127" i="1"/>
  <c r="I702" i="1"/>
  <c r="I825" i="1"/>
  <c r="I104" i="1"/>
  <c r="I421" i="1"/>
  <c r="I124" i="1"/>
  <c r="I350" i="1"/>
  <c r="I1962" i="1"/>
  <c r="I1283" i="1"/>
  <c r="I2319" i="1"/>
  <c r="I1712" i="1"/>
  <c r="I618" i="1"/>
  <c r="I1998" i="1"/>
  <c r="I353" i="1"/>
  <c r="I2152" i="1"/>
  <c r="I1260" i="1"/>
  <c r="I889" i="1"/>
  <c r="I37" i="1"/>
  <c r="I904" i="1"/>
  <c r="I2201" i="1"/>
  <c r="I30" i="1"/>
  <c r="I321" i="1"/>
  <c r="I1027" i="1"/>
  <c r="I1146" i="1"/>
  <c r="I2345" i="1"/>
  <c r="I1813" i="1"/>
  <c r="I1214" i="1"/>
  <c r="I1368" i="1"/>
  <c r="I259" i="1"/>
  <c r="I1900" i="1"/>
  <c r="I311" i="1"/>
  <c r="I2030" i="1"/>
  <c r="I451" i="1"/>
  <c r="I422" i="1"/>
  <c r="I2042" i="1"/>
  <c r="I1375" i="1"/>
  <c r="I1580" i="1"/>
  <c r="I1162" i="1"/>
  <c r="I1694" i="1"/>
  <c r="I2342" i="1"/>
  <c r="I617" i="1"/>
  <c r="I766" i="1"/>
  <c r="I1300" i="1"/>
  <c r="I2477" i="1"/>
  <c r="I976" i="1"/>
  <c r="I1065" i="1"/>
  <c r="I455" i="1"/>
  <c r="I7" i="1"/>
  <c r="I1882" i="1"/>
  <c r="I2422" i="1"/>
  <c r="I2105" i="1"/>
  <c r="I1774" i="1"/>
  <c r="I1396" i="1"/>
  <c r="I83" i="1"/>
  <c r="I1087" i="1"/>
  <c r="I491" i="1"/>
  <c r="I1138" i="1"/>
  <c r="I2028" i="1"/>
  <c r="I1336" i="1"/>
  <c r="I1639" i="1"/>
  <c r="I925" i="1"/>
  <c r="I964" i="1"/>
  <c r="I2266" i="1"/>
  <c r="I2498" i="1"/>
  <c r="I55" i="1"/>
  <c r="I2258" i="1"/>
  <c r="I639" i="1"/>
  <c r="I1578" i="1"/>
  <c r="I1899" i="1"/>
  <c r="I423" i="1"/>
  <c r="I1834" i="1"/>
  <c r="I78" i="1"/>
  <c r="I2236" i="1"/>
  <c r="I1172" i="1"/>
  <c r="I2462" i="1"/>
  <c r="I2277" i="1"/>
  <c r="I731" i="1"/>
  <c r="I799" i="1"/>
  <c r="I1784" i="1"/>
  <c r="I1786" i="1"/>
  <c r="I812" i="1"/>
  <c r="I519" i="1"/>
  <c r="I1397" i="1"/>
  <c r="I1515" i="1"/>
  <c r="I1032" i="1"/>
  <c r="I433" i="1"/>
  <c r="I2279" i="1"/>
  <c r="I1585" i="1"/>
  <c r="I898" i="1"/>
  <c r="I1838" i="1"/>
  <c r="I619" i="1"/>
  <c r="I1903" i="1"/>
  <c r="I2435" i="1"/>
  <c r="I1072" i="1"/>
  <c r="I556" i="1"/>
  <c r="I398" i="1"/>
  <c r="I1790" i="1"/>
  <c r="I1561" i="1"/>
  <c r="I1914" i="1"/>
  <c r="I1955" i="1"/>
  <c r="I188" i="1"/>
  <c r="I2185" i="1"/>
  <c r="I628" i="1"/>
  <c r="I273" i="1"/>
  <c r="I244" i="1"/>
  <c r="I966" i="1"/>
  <c r="I497" i="1"/>
  <c r="I2093" i="1"/>
  <c r="I1387" i="1"/>
  <c r="I2083" i="1"/>
  <c r="I1395" i="1"/>
  <c r="I1192" i="1"/>
  <c r="I106" i="1"/>
  <c r="I599" i="1"/>
  <c r="I695" i="1"/>
  <c r="I2079" i="1"/>
  <c r="I1581" i="1"/>
  <c r="I263" i="1"/>
  <c r="I2351" i="1"/>
  <c r="I762" i="1"/>
  <c r="I1577" i="1"/>
  <c r="I847" i="1"/>
  <c r="I1652" i="1"/>
  <c r="I52" i="1"/>
  <c r="I2394" i="1"/>
  <c r="I2220" i="1"/>
  <c r="I2359" i="1"/>
  <c r="I1274" i="1"/>
  <c r="I1953" i="1"/>
  <c r="I1758" i="1"/>
  <c r="I1682" i="1"/>
  <c r="I890" i="1"/>
  <c r="I645" i="1"/>
  <c r="I2441" i="1"/>
  <c r="I121" i="1"/>
  <c r="I521" i="1"/>
  <c r="I2436" i="1"/>
  <c r="I2149" i="1"/>
  <c r="I1690" i="1"/>
  <c r="I1360" i="1"/>
  <c r="I1064" i="1"/>
  <c r="I789" i="1"/>
  <c r="I2034" i="1"/>
  <c r="I2249" i="1"/>
  <c r="I1287" i="1"/>
  <c r="I383" i="1"/>
  <c r="I2126" i="1"/>
  <c r="I1228" i="1"/>
  <c r="I2205" i="1"/>
  <c r="I572" i="1"/>
  <c r="I407" i="1"/>
  <c r="I2299" i="1"/>
  <c r="I214" i="1"/>
  <c r="I2186" i="1"/>
  <c r="I1221" i="1"/>
  <c r="I1950" i="1"/>
  <c r="I1966" i="1"/>
  <c r="I741" i="1"/>
  <c r="I528" i="1"/>
  <c r="I804" i="1"/>
  <c r="I1641" i="1"/>
  <c r="I685" i="1"/>
  <c r="I1989" i="1"/>
  <c r="I1115" i="1"/>
  <c r="I74" i="1"/>
  <c r="I1583" i="1"/>
  <c r="I1864" i="1"/>
  <c r="I1802" i="1"/>
  <c r="I2458" i="1"/>
  <c r="I2107" i="1"/>
  <c r="I2421" i="1"/>
  <c r="I1933" i="1"/>
  <c r="I418" i="1"/>
  <c r="I2169" i="1"/>
  <c r="I1543" i="1"/>
  <c r="I152" i="1"/>
  <c r="I1020" i="1"/>
  <c r="I769" i="1"/>
  <c r="I583" i="1"/>
  <c r="I191" i="1"/>
  <c r="I1465" i="1"/>
  <c r="I2161" i="1"/>
  <c r="I1730" i="1"/>
  <c r="I2479" i="1"/>
  <c r="I952" i="1"/>
  <c r="I1452" i="1"/>
  <c r="I662" i="1"/>
  <c r="I1381" i="1"/>
  <c r="I2256" i="1"/>
  <c r="I1791" i="1"/>
  <c r="I1960" i="1"/>
  <c r="I1232" i="1"/>
  <c r="I323" i="1"/>
  <c r="I1275" i="1"/>
  <c r="I1273" i="1"/>
  <c r="I34" i="1"/>
  <c r="I1028" i="1"/>
  <c r="I1460" i="1"/>
  <c r="I2109" i="1"/>
  <c r="I1491" i="1"/>
  <c r="I280" i="1"/>
  <c r="I723" i="1"/>
  <c r="I1887" i="1"/>
  <c r="I1188" i="1"/>
  <c r="I1081" i="1"/>
  <c r="I2306" i="1"/>
  <c r="I2172" i="1"/>
  <c r="I999" i="1"/>
  <c r="I2297" i="1"/>
  <c r="I2247" i="1"/>
  <c r="I1863" i="1"/>
  <c r="I1236" i="1"/>
  <c r="I1990" i="1"/>
  <c r="I1663" i="1"/>
  <c r="I651" i="1"/>
  <c r="I997" i="1"/>
  <c r="I199" i="1"/>
  <c r="I1017" i="1"/>
  <c r="I1370" i="1"/>
  <c r="I820" i="1"/>
  <c r="I822" i="1"/>
  <c r="I375" i="1"/>
  <c r="I1811" i="1"/>
  <c r="I1380" i="1"/>
  <c r="I829" i="1"/>
  <c r="I2246" i="1"/>
  <c r="I2385" i="1"/>
  <c r="I82" i="1"/>
  <c r="I189" i="1"/>
  <c r="I1463" i="1"/>
  <c r="I640" i="1"/>
  <c r="I1716" i="1"/>
  <c r="I677" i="1"/>
  <c r="I1547" i="1"/>
  <c r="I2303" i="1"/>
  <c r="I2365" i="1"/>
  <c r="I494" i="1"/>
  <c r="I1052" i="1"/>
  <c r="I2156" i="1"/>
  <c r="I1440" i="1"/>
  <c r="I650" i="1"/>
  <c r="I314" i="1"/>
  <c r="I1366" i="1"/>
  <c r="I2382" i="1"/>
  <c r="I687" i="1"/>
  <c r="I1315" i="1"/>
  <c r="I436" i="1"/>
  <c r="I1056" i="1"/>
  <c r="I1241" i="1"/>
  <c r="I1579" i="1"/>
  <c r="I173" i="1"/>
  <c r="I471" i="1"/>
  <c r="I1809" i="1"/>
  <c r="I896" i="1"/>
  <c r="I594" i="1"/>
  <c r="I2408" i="1"/>
  <c r="I1840" i="1"/>
  <c r="I2159" i="1"/>
  <c r="I2037" i="1"/>
  <c r="I1593" i="1"/>
  <c r="I1814" i="1"/>
  <c r="I1941" i="1"/>
  <c r="I1975" i="1"/>
  <c r="I253" i="1"/>
  <c r="I1231" i="1"/>
  <c r="I1965" i="1"/>
  <c r="I2312" i="1"/>
  <c r="I1356" i="1"/>
  <c r="I2217" i="1"/>
  <c r="I1969" i="1"/>
  <c r="I921" i="1"/>
  <c r="I1718" i="1"/>
  <c r="I1946" i="1"/>
  <c r="I1338" i="1"/>
  <c r="I855" i="1"/>
  <c r="I1285" i="1"/>
  <c r="I2400" i="1"/>
  <c r="I1884" i="1"/>
  <c r="I2164" i="1"/>
  <c r="I1343" i="1"/>
  <c r="I1995" i="1"/>
  <c r="I335" i="1"/>
  <c r="I1554" i="1"/>
  <c r="I1767" i="1"/>
  <c r="I355" i="1"/>
  <c r="I694" i="1"/>
  <c r="I1649" i="1"/>
  <c r="I1493" i="1"/>
  <c r="I967" i="1"/>
  <c r="I608" i="1"/>
  <c r="I891" i="1"/>
  <c r="I1134" i="1"/>
  <c r="I204" i="1"/>
  <c r="I1242" i="1"/>
  <c r="I1607" i="1"/>
  <c r="I1203" i="1"/>
  <c r="I1754" i="1"/>
  <c r="I736" i="1"/>
  <c r="I1830" i="1"/>
  <c r="I938" i="1"/>
  <c r="I252" i="1"/>
  <c r="I1152" i="1"/>
  <c r="I2358" i="1"/>
  <c r="I836" i="1"/>
  <c r="I2417" i="1"/>
  <c r="I745" i="1"/>
  <c r="I1778" i="1"/>
  <c r="I1121" i="1"/>
  <c r="I2257" i="1"/>
  <c r="I1237" i="1"/>
  <c r="I517" i="1"/>
  <c r="I2483" i="1"/>
  <c r="I865" i="1"/>
  <c r="I1565" i="1"/>
  <c r="I808" i="1"/>
  <c r="I963" i="1"/>
  <c r="I2314" i="1"/>
  <c r="I1196" i="1"/>
  <c r="I414" i="1"/>
  <c r="I333" i="1"/>
  <c r="I438" i="1"/>
  <c r="I1587" i="1"/>
  <c r="I632" i="1"/>
  <c r="I533" i="1"/>
  <c r="I724" i="1"/>
  <c r="I1327" i="1"/>
  <c r="I2073" i="1"/>
  <c r="I1775" i="1"/>
  <c r="I2501" i="1"/>
  <c r="I178" i="1"/>
  <c r="I2281" i="1"/>
  <c r="I312" i="1"/>
  <c r="I883" i="1"/>
  <c r="I1706" i="1"/>
  <c r="I456" i="1"/>
  <c r="I2060" i="1"/>
  <c r="I1208" i="1"/>
  <c r="I2376" i="1"/>
  <c r="I1576" i="1"/>
  <c r="I2332" i="1"/>
  <c r="I1703" i="1"/>
  <c r="I992" i="1"/>
  <c r="I1524" i="1"/>
  <c r="I539" i="1"/>
  <c r="I2370" i="1"/>
  <c r="I1636" i="1"/>
  <c r="I1046" i="1"/>
  <c r="I1459" i="1"/>
  <c r="I1269" i="1"/>
  <c r="I2304" i="1"/>
  <c r="I1600" i="1"/>
  <c r="I269" i="1"/>
  <c r="I1215" i="1"/>
  <c r="I2490" i="1"/>
  <c r="I2085" i="1"/>
  <c r="I2213" i="1"/>
  <c r="I1358" i="1"/>
  <c r="I2115" i="1"/>
  <c r="I788" i="1"/>
  <c r="I1678" i="1"/>
  <c r="I948" i="1"/>
  <c r="I301" i="1"/>
  <c r="I441" i="1"/>
  <c r="I193" i="1"/>
  <c r="I2199" i="1"/>
  <c r="I2378" i="1"/>
  <c r="I1120" i="1"/>
  <c r="I1079" i="1"/>
  <c r="I756" i="1"/>
  <c r="I1875" i="1"/>
  <c r="I1993" i="1"/>
  <c r="I287" i="1"/>
  <c r="I266" i="1"/>
  <c r="I791" i="1"/>
  <c r="I679" i="1"/>
  <c r="I2232" i="1"/>
  <c r="I2449" i="1"/>
  <c r="I1050" i="1"/>
  <c r="I844" i="1"/>
  <c r="I2283" i="1"/>
  <c r="I1541" i="1"/>
  <c r="I2379" i="1"/>
  <c r="I1572" i="1"/>
  <c r="I642" i="1"/>
  <c r="I1482" i="1"/>
  <c r="I424" i="1"/>
  <c r="I326" i="1"/>
  <c r="I2091" i="1"/>
  <c r="I1877" i="1"/>
  <c r="I1654" i="1"/>
  <c r="I701" i="1"/>
  <c r="I2211" i="1"/>
  <c r="I1098" i="1"/>
  <c r="I1135" i="1"/>
  <c r="I334" i="1"/>
  <c r="I742" i="1"/>
  <c r="I2439" i="1"/>
  <c r="I707" i="1"/>
  <c r="I1901" i="1"/>
  <c r="I233" i="1"/>
  <c r="I237" i="1"/>
  <c r="I2474" i="1"/>
  <c r="I2101" i="1"/>
  <c r="I658" i="1"/>
  <c r="I248" i="1"/>
  <c r="I402" i="1"/>
  <c r="I161" i="1"/>
  <c r="I14" i="1"/>
  <c r="I1211" i="1"/>
  <c r="I1806" i="1"/>
  <c r="I1347" i="1"/>
  <c r="I1859" i="1"/>
  <c r="I1309" i="1"/>
  <c r="I330" i="1"/>
  <c r="I559" i="1"/>
  <c r="I315" i="1"/>
  <c r="I1595" i="1"/>
  <c r="I810" i="1"/>
  <c r="I2171" i="1"/>
  <c r="I622" i="1"/>
  <c r="I1973" i="1"/>
  <c r="I1487" i="1"/>
  <c r="I1857" i="1"/>
  <c r="I852" i="1"/>
  <c r="I2072" i="1"/>
  <c r="I2038" i="1"/>
  <c r="I867" i="1"/>
  <c r="I1235" i="1"/>
  <c r="I2121" i="1"/>
  <c r="I317" i="1"/>
  <c r="I1726" i="1"/>
  <c r="I2425" i="1"/>
  <c r="I960" i="1"/>
  <c r="I671" i="1"/>
  <c r="I2100" i="1"/>
  <c r="I2045" i="1"/>
  <c r="I1529" i="1"/>
  <c r="I1748" i="1"/>
  <c r="I2122" i="1"/>
  <c r="I164" i="1"/>
  <c r="I590" i="1"/>
  <c r="I720" i="1"/>
  <c r="I614" i="1"/>
  <c r="I1357" i="1"/>
  <c r="I1383" i="1"/>
  <c r="I1263" i="1"/>
  <c r="I2262" i="1"/>
  <c r="I1159" i="1"/>
  <c r="I1169" i="1"/>
  <c r="I982" i="1"/>
  <c r="I1518" i="1"/>
  <c r="I1499" i="1"/>
  <c r="I412" i="1"/>
  <c r="I294" i="1"/>
  <c r="I1842" i="1"/>
  <c r="I746" i="1"/>
  <c r="I1780" i="1"/>
  <c r="I347" i="1"/>
  <c r="I833" i="1"/>
  <c r="I435" i="1"/>
  <c r="I420" i="1"/>
  <c r="I1696" i="1"/>
  <c r="I147" i="1"/>
  <c r="I1444" i="1"/>
  <c r="I1479" i="1"/>
  <c r="I241" i="1"/>
  <c r="I620" i="1"/>
  <c r="I474" i="1"/>
  <c r="I1979" i="1"/>
  <c r="I575" i="1"/>
  <c r="I1591" i="1"/>
  <c r="I957" i="1"/>
  <c r="I163" i="1"/>
  <c r="I1286" i="1"/>
  <c r="I20" i="1"/>
  <c r="I1240" i="1"/>
  <c r="I688" i="1"/>
  <c r="I626" i="1"/>
  <c r="I926" i="1"/>
  <c r="I1586" i="1"/>
  <c r="I130" i="1"/>
  <c r="I19" i="1"/>
  <c r="I949" i="1"/>
  <c r="I2023" i="1"/>
  <c r="I839" i="1"/>
  <c r="I1261" i="1"/>
  <c r="I1740" i="1"/>
  <c r="I1073" i="1"/>
  <c r="I2039" i="1"/>
  <c r="I686" i="1"/>
  <c r="I275" i="1"/>
  <c r="I1428" i="1"/>
  <c r="I377" i="1"/>
  <c r="I1471" i="1"/>
  <c r="I680" i="1"/>
  <c r="I843" i="1"/>
  <c r="I924" i="1"/>
  <c r="I2141" i="1"/>
  <c r="I985" i="1"/>
  <c r="I472" i="1"/>
  <c r="I1036" i="1"/>
  <c r="I304" i="1"/>
  <c r="I1033" i="1"/>
  <c r="I1457" i="1"/>
  <c r="I429" i="1"/>
  <c r="I346" i="1"/>
  <c r="I33" i="1"/>
  <c r="I897" i="1"/>
  <c r="I633" i="1"/>
  <c r="I119" i="1"/>
  <c r="I53" i="1"/>
  <c r="I2488" i="1"/>
  <c r="I1373" i="1"/>
  <c r="I2192" i="1"/>
  <c r="I66" i="1"/>
  <c r="I31" i="1"/>
  <c r="I1510" i="1"/>
  <c r="I906" i="1"/>
  <c r="I1233" i="1"/>
  <c r="I1349" i="1"/>
  <c r="I795" i="1"/>
  <c r="I1391" i="1"/>
  <c r="I636" i="1"/>
  <c r="I638" i="1"/>
  <c r="I1761" i="1"/>
  <c r="I802" i="1"/>
  <c r="I892" i="1"/>
  <c r="I683" i="1"/>
  <c r="I1938" i="1"/>
  <c r="I669" i="1"/>
  <c r="I663" i="1"/>
  <c r="I875" i="1"/>
  <c r="I282" i="1"/>
  <c r="I580" i="1"/>
  <c r="I1382" i="1"/>
  <c r="I555" i="1"/>
  <c r="I243" i="1"/>
  <c r="I1980" i="1"/>
  <c r="I166" i="1"/>
  <c r="I1264" i="1"/>
  <c r="I77" i="1"/>
  <c r="I1618" i="1"/>
  <c r="I748" i="1"/>
  <c r="I1031" i="1"/>
  <c r="I399" i="1"/>
  <c r="I716" i="1"/>
  <c r="I155" i="1"/>
  <c r="I703" i="1"/>
  <c r="I1175" i="1"/>
  <c r="I1362" i="1"/>
  <c r="I1365" i="1"/>
  <c r="I201" i="1"/>
  <c r="I2492" i="1"/>
  <c r="I981" i="1"/>
  <c r="I918" i="1"/>
  <c r="I1111" i="1"/>
  <c r="I1763" i="1"/>
  <c r="I510" i="1"/>
  <c r="I2013" i="1"/>
  <c r="I1001" i="1"/>
  <c r="I254" i="1"/>
  <c r="I101" i="1"/>
  <c r="I955" i="1"/>
  <c r="I92" i="1"/>
  <c r="I310" i="1"/>
  <c r="I752" i="1"/>
  <c r="I595" i="1"/>
  <c r="I430" i="1"/>
  <c r="I774" i="1"/>
  <c r="I652" i="1"/>
  <c r="I1021" i="1"/>
  <c r="I343" i="1"/>
  <c r="I1348" i="1"/>
  <c r="I2142" i="1"/>
  <c r="I1711" i="1"/>
  <c r="I1653" i="1"/>
  <c r="I1007" i="1"/>
  <c r="I502" i="1"/>
  <c r="I664" i="1"/>
  <c r="I1438" i="1"/>
  <c r="I1968" i="1"/>
  <c r="I998" i="1"/>
  <c r="I2098" i="1"/>
  <c r="I501" i="1"/>
  <c r="I2188" i="1"/>
  <c r="I488" i="1"/>
  <c r="I1187" i="1"/>
  <c r="I415" i="1"/>
  <c r="I165" i="1"/>
  <c r="I550" i="1"/>
  <c r="I1940" i="1"/>
  <c r="I51" i="1"/>
  <c r="I1525" i="1"/>
  <c r="I413" i="1"/>
  <c r="I1622" i="1"/>
  <c r="I923" i="1"/>
  <c r="I256" i="1"/>
  <c r="I1155" i="1"/>
  <c r="I878" i="1"/>
  <c r="I2429" i="1"/>
  <c r="I454" i="1"/>
  <c r="I591" i="1"/>
  <c r="I1197" i="1"/>
  <c r="I1034" i="1"/>
  <c r="I379" i="1"/>
  <c r="I942" i="1"/>
  <c r="I1259" i="1"/>
  <c r="I1109" i="1"/>
  <c r="I308" i="1"/>
  <c r="I732" i="1"/>
  <c r="I389" i="1"/>
  <c r="I2183" i="1"/>
  <c r="I1198" i="1"/>
  <c r="I2032" i="1"/>
  <c r="I1038" i="1"/>
  <c r="I1772" i="1"/>
  <c r="I1040" i="1"/>
  <c r="I1542" i="1"/>
  <c r="I661" i="1"/>
  <c r="I192" i="1"/>
  <c r="I2086" i="1"/>
  <c r="I682" i="1"/>
  <c r="I1239" i="1"/>
  <c r="I1125" i="1"/>
  <c r="I1306" i="1"/>
  <c r="I709" i="1"/>
  <c r="I1685" i="1"/>
  <c r="I56" i="1"/>
  <c r="I512" i="1"/>
  <c r="I946" i="1"/>
  <c r="I1160" i="1"/>
  <c r="I2263" i="1"/>
  <c r="I205" i="1"/>
  <c r="I676" i="1"/>
  <c r="I1822" i="1"/>
  <c r="I1883" i="1"/>
  <c r="I1646" i="1"/>
  <c r="I367" i="1"/>
  <c r="I535" i="1"/>
  <c r="I545" i="1"/>
  <c r="I1093" i="1"/>
  <c r="I32" i="1"/>
  <c r="I153" i="1"/>
  <c r="I2054" i="1"/>
  <c r="I408" i="1"/>
  <c r="I1226" i="1"/>
  <c r="I934" i="1"/>
  <c r="I991" i="1"/>
  <c r="I475" i="1"/>
  <c r="I1063" i="1"/>
  <c r="I1399" i="1"/>
  <c r="I303" i="1"/>
  <c r="I1238" i="1"/>
  <c r="I5" i="1"/>
  <c r="I738" i="1"/>
  <c r="I172" i="1"/>
  <c r="I1104" i="1"/>
  <c r="I120" i="1"/>
  <c r="I476" i="1"/>
  <c r="I962" i="1"/>
  <c r="I200" i="1"/>
  <c r="I134" i="1"/>
  <c r="I1141" i="1"/>
  <c r="I835" i="1"/>
  <c r="I468" i="1"/>
  <c r="I1202" i="1"/>
  <c r="I980" i="1"/>
  <c r="I332" i="1"/>
  <c r="I803" i="1"/>
  <c r="I552" i="1"/>
  <c r="I780" i="1"/>
  <c r="I1692" i="1"/>
  <c r="I1015" i="1"/>
  <c r="I462" i="1"/>
  <c r="I103" i="1"/>
  <c r="I690" i="1"/>
  <c r="I1656" i="1"/>
  <c r="I495" i="1"/>
  <c r="I262" i="1"/>
  <c r="I157" i="1"/>
  <c r="I217" i="1"/>
  <c r="I739" i="1"/>
  <c r="I1156" i="1"/>
  <c r="I1150" i="1"/>
  <c r="I91" i="1"/>
  <c r="I794" i="1"/>
  <c r="I1219" i="1"/>
  <c r="I181" i="1"/>
  <c r="I708" i="1"/>
  <c r="I1958" i="1"/>
  <c r="I218" i="1"/>
  <c r="I1526" i="1"/>
  <c r="I1987" i="1"/>
  <c r="I2224" i="1"/>
  <c r="I668" i="1"/>
  <c r="I1222" i="1"/>
  <c r="I219" i="1"/>
  <c r="I793" i="1"/>
  <c r="I1352" i="1"/>
  <c r="I1041" i="1"/>
  <c r="I602" i="1"/>
  <c r="I508" i="1"/>
  <c r="I300" i="1"/>
  <c r="I1688" i="1"/>
  <c r="I283" i="1"/>
  <c r="I384" i="1"/>
  <c r="I397" i="1"/>
  <c r="I145" i="1"/>
  <c r="I133" i="1"/>
  <c r="I1422" i="1"/>
  <c r="I403" i="1"/>
  <c r="I158" i="1"/>
  <c r="I6" i="1"/>
  <c r="I1016" i="1"/>
  <c r="I67" i="1"/>
  <c r="I727" i="1"/>
  <c r="I41" i="1"/>
  <c r="I136" i="1"/>
  <c r="I1131" i="1"/>
  <c r="I203" i="1"/>
  <c r="I714" i="1"/>
  <c r="I336" i="1"/>
  <c r="I1922" i="1"/>
  <c r="I1075" i="1"/>
  <c r="I1393" i="1"/>
  <c r="I853" i="1"/>
  <c r="I302" i="1"/>
  <c r="I747" i="1"/>
  <c r="I2305" i="1"/>
  <c r="I1474" i="1"/>
  <c r="I1552" i="1"/>
  <c r="I247" i="1"/>
  <c r="I1575" i="1"/>
  <c r="I1910" i="1"/>
  <c r="I54" i="1"/>
  <c r="I95" i="1"/>
  <c r="I771" i="1"/>
  <c r="I446" i="1"/>
  <c r="I1710" i="1"/>
  <c r="I2016" i="1"/>
  <c r="I395" i="1"/>
  <c r="I62" i="1"/>
  <c r="I1191" i="1"/>
  <c r="I1008" i="1"/>
  <c r="I1782" i="1"/>
  <c r="I1045" i="1"/>
  <c r="I79" i="1"/>
  <c r="I1424" i="1"/>
  <c r="I18" i="1"/>
  <c r="I547" i="1"/>
  <c r="I197" i="1"/>
  <c r="I604" i="1"/>
  <c r="I1331" i="1"/>
  <c r="I58" i="1"/>
  <c r="I313" i="1"/>
  <c r="I2175" i="1"/>
  <c r="I99" i="1"/>
  <c r="I459" i="1"/>
  <c r="I122" i="1"/>
  <c r="I1923" i="1"/>
  <c r="I1640" i="1"/>
  <c r="I40" i="1"/>
  <c r="I409" i="1"/>
  <c r="I2110" i="1"/>
  <c r="I479" i="1"/>
  <c r="I215" i="1"/>
  <c r="I1389" i="1"/>
  <c r="I401" i="1"/>
  <c r="I1114" i="1"/>
  <c r="I405" i="1"/>
  <c r="I2140" i="1"/>
  <c r="I514" i="1"/>
  <c r="I1957" i="1"/>
  <c r="I870" i="1"/>
  <c r="I361" i="1"/>
  <c r="I49" i="1"/>
  <c r="I255" i="1"/>
  <c r="I712" i="1"/>
  <c r="I775" i="1"/>
  <c r="I1025" i="1"/>
  <c r="I1195" i="1"/>
  <c r="I647" i="1"/>
  <c r="I339" i="1"/>
  <c r="I1992" i="1"/>
  <c r="I877" i="1"/>
  <c r="I800" i="1"/>
  <c r="I60" i="1"/>
  <c r="I236" i="1"/>
  <c r="I1470" i="1"/>
  <c r="I22" i="1"/>
  <c r="I842" i="1"/>
  <c r="I649" i="1"/>
  <c r="I410" i="1"/>
  <c r="I644" i="1"/>
  <c r="I1296" i="1"/>
  <c r="I530" i="1"/>
  <c r="I86" i="1"/>
  <c r="I394" i="1"/>
  <c r="I845" i="1"/>
  <c r="I592" i="1"/>
  <c r="I629" i="1"/>
  <c r="I1023" i="1"/>
  <c r="I1620" i="1"/>
  <c r="I1724" i="1"/>
  <c r="I1292" i="1"/>
  <c r="I437" i="1"/>
  <c r="I929" i="1"/>
  <c r="I1559" i="1"/>
  <c r="I1680" i="1"/>
  <c r="I834" i="1"/>
  <c r="I1870" i="1"/>
  <c r="I1567" i="1"/>
  <c r="I84" i="1"/>
  <c r="I987" i="1"/>
  <c r="I1225" i="1"/>
  <c r="I970" i="1"/>
  <c r="I667" i="1"/>
  <c r="I1770" i="1"/>
  <c r="I1908" i="1"/>
  <c r="I548" i="1"/>
  <c r="I271" i="1"/>
  <c r="I24" i="1"/>
  <c r="I307" i="1"/>
  <c r="I850" i="1"/>
  <c r="I144" i="1"/>
  <c r="I1829" i="1"/>
  <c r="I1060" i="1"/>
  <c r="I1573" i="1"/>
  <c r="I956" i="1"/>
  <c r="I713" i="1"/>
  <c r="I169" i="1"/>
  <c r="I631" i="1"/>
  <c r="I1018" i="1"/>
  <c r="I1142" i="1"/>
  <c r="I137" i="1"/>
  <c r="I76" i="1"/>
  <c r="I1014" i="1"/>
  <c r="I1205" i="1"/>
  <c r="I597" i="1"/>
  <c r="I1201" i="1"/>
  <c r="I2116" i="1"/>
  <c r="I710" i="1"/>
  <c r="I1531" i="1"/>
  <c r="I96" i="1"/>
  <c r="I396" i="1"/>
  <c r="I2343" i="1"/>
  <c r="I268" i="1"/>
  <c r="I118" i="1"/>
  <c r="I148" i="1"/>
  <c r="I362" i="1"/>
  <c r="I1105" i="1"/>
  <c r="I1913" i="1"/>
  <c r="I224" i="1"/>
  <c r="I226" i="1"/>
  <c r="I431" i="1"/>
  <c r="I2200" i="1"/>
  <c r="I1545" i="1"/>
  <c r="I2234" i="1"/>
  <c r="I2204" i="1"/>
  <c r="I154" i="1"/>
  <c r="I2295" i="1"/>
  <c r="I341" i="1"/>
  <c r="I1078" i="1"/>
  <c r="I848" i="1"/>
  <c r="I1157" i="1"/>
  <c r="I240" i="1"/>
  <c r="I518" i="1"/>
  <c r="I208" i="1"/>
  <c r="I1369" i="1"/>
  <c r="I440" i="1"/>
  <c r="I621" i="1"/>
  <c r="I975" i="1"/>
  <c r="I743" i="1"/>
  <c r="I469" i="1"/>
  <c r="I522" i="1"/>
  <c r="I1991" i="1"/>
  <c r="I1118" i="1"/>
  <c r="I564" i="1"/>
  <c r="I427" i="1"/>
  <c r="I1717" i="1"/>
  <c r="I673" i="1"/>
  <c r="I785" i="1"/>
  <c r="I64" i="1"/>
  <c r="I1313" i="1"/>
  <c r="I356" i="1"/>
  <c r="I117" i="1"/>
  <c r="I994" i="1"/>
  <c r="I1209" i="1"/>
  <c r="I35" i="1"/>
  <c r="I1967" i="1"/>
  <c r="I909" i="1"/>
  <c r="I787" i="1"/>
  <c r="I143" i="1"/>
  <c r="I534" i="1"/>
  <c r="I894" i="1"/>
  <c r="I393" i="1"/>
  <c r="I1077" i="1"/>
  <c r="I1698" i="1"/>
  <c r="I432" i="1"/>
  <c r="I959" i="1"/>
  <c r="I298" i="1"/>
  <c r="I187" i="1"/>
  <c r="I1753" i="1"/>
  <c r="I13" i="1"/>
  <c r="I1906" i="1"/>
  <c r="I1181" i="1"/>
  <c r="I706" i="1"/>
  <c r="I947" i="1"/>
  <c r="I71" i="1"/>
  <c r="I1335" i="1"/>
  <c r="I487" i="1"/>
  <c r="I234" i="1"/>
  <c r="I1777" i="1"/>
  <c r="I325" i="1"/>
  <c r="I228" i="1"/>
  <c r="I863" i="1"/>
  <c r="I1288" i="1"/>
  <c r="I1788" i="1"/>
  <c r="I295" i="1"/>
  <c r="I1557" i="1"/>
  <c r="I73" i="1"/>
  <c r="I840" i="1"/>
  <c r="I734" i="1"/>
  <c r="I1329" i="1"/>
  <c r="I1894" i="1"/>
  <c r="I381" i="1"/>
  <c r="I368" i="1"/>
  <c r="I1112" i="1"/>
  <c r="I270" i="1"/>
  <c r="I127" i="1"/>
  <c r="I861" i="1"/>
  <c r="I286" i="1"/>
  <c r="I1939" i="1"/>
  <c r="I59" i="1"/>
  <c r="I759" i="1"/>
  <c r="I428" i="1"/>
  <c r="I1949" i="1"/>
  <c r="I1277" i="1"/>
  <c r="I729" i="1"/>
  <c r="I1024" i="1"/>
  <c r="I525" i="1"/>
  <c r="I972" i="1"/>
  <c r="I1013" i="1"/>
  <c r="I782" i="1"/>
  <c r="I1330" i="1"/>
  <c r="I2328" i="1"/>
  <c r="I2321" i="1"/>
  <c r="I2393" i="1"/>
  <c r="I1328" i="1"/>
  <c r="I718" i="1"/>
  <c r="I1675" i="1"/>
  <c r="I744" i="1"/>
  <c r="I1182" i="1"/>
  <c r="I544" i="1"/>
  <c r="I914" i="1"/>
  <c r="I936" i="1"/>
  <c r="I1035" i="1"/>
  <c r="I1513" i="1"/>
  <c r="I1262" i="1"/>
  <c r="I1080" i="1"/>
  <c r="I388" i="1"/>
  <c r="I365" i="1"/>
</calcChain>
</file>

<file path=xl/sharedStrings.xml><?xml version="1.0" encoding="utf-8"?>
<sst xmlns="http://schemas.openxmlformats.org/spreadsheetml/2006/main" count="21720" uniqueCount="7785">
  <si>
    <t>Org Name</t>
  </si>
  <si>
    <t>EIN</t>
  </si>
  <si>
    <t>Current FY Start</t>
  </si>
  <si>
    <t>Current FY End</t>
  </si>
  <si>
    <t>Address Line 1</t>
  </si>
  <si>
    <t>Address Line 2</t>
  </si>
  <si>
    <t>City</t>
  </si>
  <si>
    <t>State</t>
  </si>
  <si>
    <t>Zip</t>
  </si>
  <si>
    <t>IRS Subsection</t>
  </si>
  <si>
    <t>NTEE Code</t>
  </si>
  <si>
    <t>Total Assets</t>
  </si>
  <si>
    <t>Total Income</t>
  </si>
  <si>
    <t>Total Liabilities</t>
  </si>
  <si>
    <t>Total Expenses</t>
  </si>
  <si>
    <t>Total Administrative Expenses</t>
  </si>
  <si>
    <t>Fundraising Expenses</t>
  </si>
  <si>
    <t>GODS PROVISION INC</t>
  </si>
  <si>
    <t>20-2016970</t>
  </si>
  <si>
    <t>450 E 96th St Ste 200</t>
  </si>
  <si>
    <t>Indianapolis</t>
  </si>
  <si>
    <t>IN</t>
  </si>
  <si>
    <t>501(c)(3) Private Nonoperating Foundation</t>
  </si>
  <si>
    <t>T20 (Private Grantmaking Foundations)</t>
  </si>
  <si>
    <t>N/A</t>
  </si>
  <si>
    <t>CRAIN-MALING FOUNDATION</t>
  </si>
  <si>
    <t>20-4310219</t>
  </si>
  <si>
    <t>Suite 1105</t>
  </si>
  <si>
    <t>Chicago</t>
  </si>
  <si>
    <t>IL</t>
  </si>
  <si>
    <t>T22 (Private Independent Foundations)</t>
  </si>
  <si>
    <t>MANAAKI FOUNDATION</t>
  </si>
  <si>
    <t>27-1371242</t>
  </si>
  <si>
    <t>807 Forest Ave</t>
  </si>
  <si>
    <t>River Forest</t>
  </si>
  <si>
    <t>VISITING NURSE ASSOCIATION OF CHICAGO</t>
  </si>
  <si>
    <t>36-2167943</t>
  </si>
  <si>
    <t>20 N Wacker Dr Ste 3118</t>
  </si>
  <si>
    <t>JAMES C WOODWARD AND ALICE G WOODWARD TR 040015369400</t>
  </si>
  <si>
    <t>37-6533785</t>
  </si>
  <si>
    <t>Po Box 634</t>
  </si>
  <si>
    <t>Milwaukee</t>
  </si>
  <si>
    <t>WI</t>
  </si>
  <si>
    <t>W.K. Kellogg Foundation</t>
  </si>
  <si>
    <t>38-1359264</t>
  </si>
  <si>
    <t>1 Michigan Ave. East</t>
  </si>
  <si>
    <t>Battle Creek</t>
  </si>
  <si>
    <t>MI</t>
  </si>
  <si>
    <t>Charlotte &amp; Norman Codo Charitable Tr</t>
  </si>
  <si>
    <t>51-6510459</t>
  </si>
  <si>
    <t>10 S Dearborn</t>
  </si>
  <si>
    <t>Tua Clyde Watkins Charitable</t>
  </si>
  <si>
    <t>59-7277186</t>
  </si>
  <si>
    <t>135 S Lasalle St</t>
  </si>
  <si>
    <t>PELINO CHARITABLE FOUNDATION</t>
  </si>
  <si>
    <t>36-7158061</t>
  </si>
  <si>
    <t>1110 Jorie Blvd Ste 204</t>
  </si>
  <si>
    <t>Oak Brook</t>
  </si>
  <si>
    <t>GREENE COUNTY COMMUNITY FOUNDATION</t>
  </si>
  <si>
    <t>31-1751001</t>
  </si>
  <si>
    <t>941 W. Second Street</t>
  </si>
  <si>
    <t>Xenia</t>
  </si>
  <si>
    <t>OH</t>
  </si>
  <si>
    <t>501(c)(3) Public Charity</t>
  </si>
  <si>
    <t>T31 (Community Foundations)</t>
  </si>
  <si>
    <t>Million Dollar Round Table Foundation</t>
  </si>
  <si>
    <t>36-6080766</t>
  </si>
  <si>
    <t>325 W Touhy Ave</t>
  </si>
  <si>
    <t>Park Ridge</t>
  </si>
  <si>
    <t>Lenawee Community Foundation</t>
  </si>
  <si>
    <t>38-6095474</t>
  </si>
  <si>
    <t>P O Box 142</t>
  </si>
  <si>
    <t>603 N. Evans Street</t>
  </si>
  <si>
    <t>Tecumseh</t>
  </si>
  <si>
    <t>KENTUCKY SCHOOL FOR THE BLIND CHARITABLE FOUNDATION INC</t>
  </si>
  <si>
    <t>61-1080293</t>
  </si>
  <si>
    <t>214 Haldeman Avenue</t>
  </si>
  <si>
    <t>Louisville</t>
  </si>
  <si>
    <t>KY</t>
  </si>
  <si>
    <t>T30 (Public Foundations)</t>
  </si>
  <si>
    <t>Sumac Foundation Tr</t>
  </si>
  <si>
    <t>13-7115395</t>
  </si>
  <si>
    <t>55 E Pearson St Unit 5005</t>
  </si>
  <si>
    <t>Fund for Wisconsin Scholars Inc</t>
  </si>
  <si>
    <t>26-1412296</t>
  </si>
  <si>
    <t>1506 Wood Ln</t>
  </si>
  <si>
    <t>Madison</t>
  </si>
  <si>
    <t>Mobel Foundation Inc</t>
  </si>
  <si>
    <t>35-2126479</t>
  </si>
  <si>
    <t>2130 Industrial Park Rd</t>
  </si>
  <si>
    <t>Ferdinand</t>
  </si>
  <si>
    <t>T21 (Corporate Foundations)</t>
  </si>
  <si>
    <t>Alphawood Foundation</t>
  </si>
  <si>
    <t>36-3805338</t>
  </si>
  <si>
    <t>2401 N Halsted St Ste 200</t>
  </si>
  <si>
    <t>Daniel Richard Ruscitti Charitable Foundation</t>
  </si>
  <si>
    <t>36-4321410</t>
  </si>
  <si>
    <t>8015 Winter Circle Dr</t>
  </si>
  <si>
    <t>Downers Grove</t>
  </si>
  <si>
    <t>Swanson Schmucker Charitable Tr 050011527800</t>
  </si>
  <si>
    <t>39-6795378</t>
  </si>
  <si>
    <t>Po Box 7900</t>
  </si>
  <si>
    <t>Charles P and Lucy Miller Sturges Charitable Trust</t>
  </si>
  <si>
    <t>65-6224256</t>
  </si>
  <si>
    <t>Po Box 803878</t>
  </si>
  <si>
    <t>Youth Improved Incorporated</t>
  </si>
  <si>
    <t>27-0988546</t>
  </si>
  <si>
    <t>10255 West Higgins Road</t>
  </si>
  <si>
    <t>Rosemont</t>
  </si>
  <si>
    <t>501(c)(3) Private Nonoperating Foundation (This organization has notified the IRS of its intention to convert to a public charity, and the IRS has ruled that grantors and contributors may consider it a public charity for the purpose of making contributions to the organization.)</t>
  </si>
  <si>
    <t>KERN FAMILY FOUNDATION INC</t>
  </si>
  <si>
    <t>39-1923558</t>
  </si>
  <si>
    <t>W305s4239 Brookhill Rd</t>
  </si>
  <si>
    <t>Waukesha</t>
  </si>
  <si>
    <t>KEYES CHARITABLE TRUST 23-48964</t>
  </si>
  <si>
    <t>20-6329312</t>
  </si>
  <si>
    <t>ARNOLD SIMONSEN FAMILY CHARITABLE FOUNDATION INC</t>
  </si>
  <si>
    <t>26-1624741</t>
  </si>
  <si>
    <t>Po Box 5139</t>
  </si>
  <si>
    <t>Buffalo Grove</t>
  </si>
  <si>
    <t>WILLIAM AND SANDRA HAACK FAMILY FOUNDATION INC</t>
  </si>
  <si>
    <t>27-1525501</t>
  </si>
  <si>
    <t>10700 W Research Drive</t>
  </si>
  <si>
    <t>PROGRESSIVE EDUCATION FOUNDATION INC</t>
  </si>
  <si>
    <t>30-0259919</t>
  </si>
  <si>
    <t>Lyon Family Foundation</t>
  </si>
  <si>
    <t>36-4386801</t>
  </si>
  <si>
    <t>1406 N Astor St</t>
  </si>
  <si>
    <t>Nib Foundation</t>
  </si>
  <si>
    <t>36-4464875</t>
  </si>
  <si>
    <t>1140 W Erie St</t>
  </si>
  <si>
    <t>Hilb Fam Foundation</t>
  </si>
  <si>
    <t>36-4417758</t>
  </si>
  <si>
    <t>1315 W 22nd St Ste 305</t>
  </si>
  <si>
    <t>HENRY T &amp; CLARISSA H CHANDLER FOUNDATION</t>
  </si>
  <si>
    <t>36-7086542</t>
  </si>
  <si>
    <t>Johns Family Foundation</t>
  </si>
  <si>
    <t>38-3336846</t>
  </si>
  <si>
    <t>3923-28th St Se 367</t>
  </si>
  <si>
    <t>Grand Rapids</t>
  </si>
  <si>
    <t>Riley Foundation</t>
  </si>
  <si>
    <t>38-3439851</t>
  </si>
  <si>
    <t>Po Box 75000</t>
  </si>
  <si>
    <t>Detroit</t>
  </si>
  <si>
    <t>Charles J &amp; Alda L Horgan</t>
  </si>
  <si>
    <t>38-6661683</t>
  </si>
  <si>
    <t>106 S Main St Fl 16</t>
  </si>
  <si>
    <t>Akron</t>
  </si>
  <si>
    <t>Kathleen &amp; Frank Thometz Charitable Foundation Inc</t>
  </si>
  <si>
    <t>39-1966766</t>
  </si>
  <si>
    <t>8135 N Range Line Rd</t>
  </si>
  <si>
    <t>BRAND FAMILY FOUNDATION</t>
  </si>
  <si>
    <t>39-2043572</t>
  </si>
  <si>
    <t>2 E Mifflin St Ste 901</t>
  </si>
  <si>
    <t>James E Doherty Medical Assistance Fund</t>
  </si>
  <si>
    <t>41-6263344</t>
  </si>
  <si>
    <t>BLUE GRASS COMMUNITY FOUNDATION INC.</t>
  </si>
  <si>
    <t>61-6053466</t>
  </si>
  <si>
    <t>499 East High Street</t>
  </si>
  <si>
    <t>Suite 112</t>
  </si>
  <si>
    <t>Lexington</t>
  </si>
  <si>
    <t>LUTHER T MCCAULEY CHARITABLE TRUST</t>
  </si>
  <si>
    <t>84-6152258</t>
  </si>
  <si>
    <t>10 S Dearborn Il1-0117</t>
  </si>
  <si>
    <t>Beck Family Foundation</t>
  </si>
  <si>
    <t>85-0487227</t>
  </si>
  <si>
    <t>8534 E Kemper Rd</t>
  </si>
  <si>
    <t>Cincinnati</t>
  </si>
  <si>
    <t>Gerber Foundation</t>
  </si>
  <si>
    <t>38-6068090</t>
  </si>
  <si>
    <t>4747 W 48th Street</t>
  </si>
  <si>
    <t>Suite 153</t>
  </si>
  <si>
    <t>Fremont</t>
  </si>
  <si>
    <t>Tabbaa Foundation</t>
  </si>
  <si>
    <t>20-1097781</t>
  </si>
  <si>
    <t>16959 Kings Fairway Ln</t>
  </si>
  <si>
    <t>Grand Blanc</t>
  </si>
  <si>
    <t>Charles Morgan Carraway and Joanne M Carraway Charitable Foundation</t>
  </si>
  <si>
    <t>20-1942780</t>
  </si>
  <si>
    <t>Po Box 241</t>
  </si>
  <si>
    <t>Robinson</t>
  </si>
  <si>
    <t>Mondelez International Foundation</t>
  </si>
  <si>
    <t>20-3881590</t>
  </si>
  <si>
    <t>Three Parkway North Blvd</t>
  </si>
  <si>
    <t>Deerfield</t>
  </si>
  <si>
    <t>Allegra C Ford-Thomas Foundation</t>
  </si>
  <si>
    <t>26-3930880</t>
  </si>
  <si>
    <t>2000 Brush St Ste 440</t>
  </si>
  <si>
    <t>Austin-Bailey Health and Wellness Foundation</t>
  </si>
  <si>
    <t>34-1845584</t>
  </si>
  <si>
    <t>2719 Fulton Dr Nw Ste D</t>
  </si>
  <si>
    <t>Canton</t>
  </si>
  <si>
    <t>William G. McGowan Charitable Fund, Inc.</t>
  </si>
  <si>
    <t>52-1829785</t>
  </si>
  <si>
    <t>212 North Sangamon Street, Suite 1D</t>
  </si>
  <si>
    <t>THE GILMOUR-JIRGENS FUND</t>
  </si>
  <si>
    <t>38-3251051</t>
  </si>
  <si>
    <t>333 W Fort St Ste 2010</t>
  </si>
  <si>
    <t>FOUNDATION FOR THE CHALLENGED</t>
  </si>
  <si>
    <t>01-0619670</t>
  </si>
  <si>
    <t>5970 Wilcox Place</t>
  </si>
  <si>
    <t>Suite E</t>
  </si>
  <si>
    <t>Dublin</t>
  </si>
  <si>
    <t>L20 (Housing Development, Construction, Management)</t>
  </si>
  <si>
    <t>KENNETH E LINDSAY FOUNDATION TR</t>
  </si>
  <si>
    <t>01-6209149</t>
  </si>
  <si>
    <t>Eaton Family Foundation</t>
  </si>
  <si>
    <t>02-0552091</t>
  </si>
  <si>
    <t>9101 Hoffman Farm Ln</t>
  </si>
  <si>
    <t>MADDEN FAMILY FOUNDATION INC</t>
  </si>
  <si>
    <t>02-0588501</t>
  </si>
  <si>
    <t>111 E Wisconsin Ave</t>
  </si>
  <si>
    <t>MORNING GLORY FAMILY FOUNDATIPN</t>
  </si>
  <si>
    <t>04-3668208</t>
  </si>
  <si>
    <t>C/O Bmo Harris Bank 500 E Grand Ave</t>
  </si>
  <si>
    <t>Beloit</t>
  </si>
  <si>
    <t>VENTRESS FAMILY FOUNDATION</t>
  </si>
  <si>
    <t>13-4252998</t>
  </si>
  <si>
    <t>781 Andrea Dr</t>
  </si>
  <si>
    <t>Loveland</t>
  </si>
  <si>
    <t>BRUCE C ABRAMS FAMILY FOUNDATION</t>
  </si>
  <si>
    <t>14-1917252</t>
  </si>
  <si>
    <t>C/O Louis S Harrison 333 W Wacker</t>
  </si>
  <si>
    <t>JAMES AND BRENDA GRUSECKI FAMILY FOUNDATION</t>
  </si>
  <si>
    <t>16-1639401</t>
  </si>
  <si>
    <t>840 North Lake Shore Dr</t>
  </si>
  <si>
    <t>WILLIAM M YARBROUGH FOUNDATION</t>
  </si>
  <si>
    <t>20-0382246</t>
  </si>
  <si>
    <t>6901 N Knoxville Ave Ste 200</t>
  </si>
  <si>
    <t>Peoria</t>
  </si>
  <si>
    <t>ZERRUSEN FAMILY FOUNDATION</t>
  </si>
  <si>
    <t>20-0484359</t>
  </si>
  <si>
    <t>902 W Main St</t>
  </si>
  <si>
    <t>Teutopolis</t>
  </si>
  <si>
    <t>DAHL FAMILY FOUNDATION INC</t>
  </si>
  <si>
    <t>20-0506791</t>
  </si>
  <si>
    <t>230 Front St N</t>
  </si>
  <si>
    <t>La Crosse</t>
  </si>
  <si>
    <t>COMMUNITY FOUNDATION OF CRAWFORD COUNTY INC</t>
  </si>
  <si>
    <t>20-0834966</t>
  </si>
  <si>
    <t>602 West Plaza Drive</t>
  </si>
  <si>
    <t>PO Box 153</t>
  </si>
  <si>
    <t>Leavenworth</t>
  </si>
  <si>
    <t>JOHN P CALAMOS SR FOUNDATION</t>
  </si>
  <si>
    <t>20-1383344</t>
  </si>
  <si>
    <t>2020 Calamos Court</t>
  </si>
  <si>
    <t>Naperville</t>
  </si>
  <si>
    <t>LAKEHURST FOUNDATION</t>
  </si>
  <si>
    <t>20-1398995</t>
  </si>
  <si>
    <t>155 Lakehurst Dr</t>
  </si>
  <si>
    <t>Bratenahl</t>
  </si>
  <si>
    <t>RON AND LISA FENECH FOUNDATION INC</t>
  </si>
  <si>
    <t>20-1944647</t>
  </si>
  <si>
    <t>11390 County Road 14</t>
  </si>
  <si>
    <t>Middlebury</t>
  </si>
  <si>
    <t>JANE LAMB CHARITABLE FOUNDATION</t>
  </si>
  <si>
    <t>20-2051960</t>
  </si>
  <si>
    <t>C/O Farmers Trust 42 Mcclurg Road</t>
  </si>
  <si>
    <t>Youngstown</t>
  </si>
  <si>
    <t>DIANE AND DAVID B HELLER CHARITABLE FOUNDATION</t>
  </si>
  <si>
    <t>20-2387089</t>
  </si>
  <si>
    <t>2550 N Lakeview Ave Unit S3601</t>
  </si>
  <si>
    <t>WILLIAM R DALLY TR FOUNDATION</t>
  </si>
  <si>
    <t>20-2505429</t>
  </si>
  <si>
    <t>Fbt 301 E 4th St</t>
  </si>
  <si>
    <t>LAHTI FAMILY FOUNDATION 6203301 0840197</t>
  </si>
  <si>
    <t>20-2988335</t>
  </si>
  <si>
    <t>WOMENS FUND OF GREATER MILWAUKEE INC</t>
  </si>
  <si>
    <t>20-3514894</t>
  </si>
  <si>
    <t>316 N Milwaukee Street</t>
  </si>
  <si>
    <t>Suite 215</t>
  </si>
  <si>
    <t>LOUIS LEGACY FOUNDATION</t>
  </si>
  <si>
    <t>20-3788008</t>
  </si>
  <si>
    <t>Edward Fellin Mcgladrey 1s Wacker</t>
  </si>
  <si>
    <t>DUNCAN FAMILY FOUNDATION</t>
  </si>
  <si>
    <t>20-3871657</t>
  </si>
  <si>
    <t>800 N Michigan Ave Apt 2001</t>
  </si>
  <si>
    <t>GREATER CINCINNATI NORTHERNKENTUCKY HEALTHCARE FOUNDATION INC</t>
  </si>
  <si>
    <t>20-3907921</t>
  </si>
  <si>
    <t>1776 Mentor Ave Ste 260</t>
  </si>
  <si>
    <t>PATRICK AND ROBYN FLINN FAMILY FOUNDATION</t>
  </si>
  <si>
    <t>20-3949497</t>
  </si>
  <si>
    <t>37w204 Grandmas Ln</t>
  </si>
  <si>
    <t>St Charles</t>
  </si>
  <si>
    <t>LAUREL FOUNDATION</t>
  </si>
  <si>
    <t>20-3948605</t>
  </si>
  <si>
    <t>Po Box 658</t>
  </si>
  <si>
    <t>Batavia</t>
  </si>
  <si>
    <t>UCB CHARITABLE FOUNDATION</t>
  </si>
  <si>
    <t>20-4604858</t>
  </si>
  <si>
    <t>92 Walnut St</t>
  </si>
  <si>
    <t>Lawrenceburg</t>
  </si>
  <si>
    <t>STEPHENS FAMILY FOUNDATION INC</t>
  </si>
  <si>
    <t>20-4617210</t>
  </si>
  <si>
    <t>4230 N Oakland Avenue No 317</t>
  </si>
  <si>
    <t>Shorewood</t>
  </si>
  <si>
    <t>BOONE COUNTY COMMUNITY FOUNDATION</t>
  </si>
  <si>
    <t>20-4973846</t>
  </si>
  <si>
    <t>600 South State Street</t>
  </si>
  <si>
    <t>Belvidere</t>
  </si>
  <si>
    <t>C MICHAEL DAVENPORT CHAPELCHARITIES FOUNDATION</t>
  </si>
  <si>
    <t>20-5729783</t>
  </si>
  <si>
    <t>Po Box 4254</t>
  </si>
  <si>
    <t>Frankfort</t>
  </si>
  <si>
    <t>ED AND MARY SCHRECK FOUNDATION</t>
  </si>
  <si>
    <t>20-5826317</t>
  </si>
  <si>
    <t>312 Chestnut St</t>
  </si>
  <si>
    <t>Winnetka</t>
  </si>
  <si>
    <t>WYN AND CAROL LAIDIG FOUNDATION INC</t>
  </si>
  <si>
    <t>20-5966178</t>
  </si>
  <si>
    <t>14450 Madison Rd</t>
  </si>
  <si>
    <t>Mishawaka</t>
  </si>
  <si>
    <t>MICHAEL CARLISLE CHARITABLE TR 2</t>
  </si>
  <si>
    <t>20-6001882</t>
  </si>
  <si>
    <t>Po Box 509</t>
  </si>
  <si>
    <t>Eau Claire</t>
  </si>
  <si>
    <t>G M WHITE CHARITABLE TR</t>
  </si>
  <si>
    <t>20-6031850</t>
  </si>
  <si>
    <t>MARY ADELINE GARDNER SCHOLARSHIP FUND</t>
  </si>
  <si>
    <t>20-6123930</t>
  </si>
  <si>
    <t>Po Box 3636</t>
  </si>
  <si>
    <t>GEOTRAC CHARITABLE FOUNDATION</t>
  </si>
  <si>
    <t>20-6377323</t>
  </si>
  <si>
    <t>257 Benedict Ave Ste D</t>
  </si>
  <si>
    <t>Norwalk</t>
  </si>
  <si>
    <t>LINDA AND JOCK MUTSCHLER FOUNDATION INC</t>
  </si>
  <si>
    <t>20-8032067</t>
  </si>
  <si>
    <t>3432 N Lake Dr</t>
  </si>
  <si>
    <t>FWG FOUNDATION</t>
  </si>
  <si>
    <t>20-8032599</t>
  </si>
  <si>
    <t>528 W Garfield Rd</t>
  </si>
  <si>
    <t>Rothbury</t>
  </si>
  <si>
    <t>ANTIOCH II FOUNDATION IRRV TRUST</t>
  </si>
  <si>
    <t>20-8185576</t>
  </si>
  <si>
    <t>THIRD FEDERAL FOUNDATION</t>
  </si>
  <si>
    <t>20-8467212</t>
  </si>
  <si>
    <t>7007 Broadway Ave</t>
  </si>
  <si>
    <t>Cleveland</t>
  </si>
  <si>
    <t>JEFFREY H GROSS FAMILY FOUNDATION</t>
  </si>
  <si>
    <t>20-8694773</t>
  </si>
  <si>
    <t>9435 Waterstone Blvd Ste 390</t>
  </si>
  <si>
    <t>EDLIS-NEESON FOUNDATION NFP</t>
  </si>
  <si>
    <t>20-8986573</t>
  </si>
  <si>
    <t>175 E Delaware Pl Apt 5116</t>
  </si>
  <si>
    <t>THOMAS O BROWN FOUNDATION</t>
  </si>
  <si>
    <t>22-3894171</t>
  </si>
  <si>
    <t>28w521 Woodlawn Ave</t>
  </si>
  <si>
    <t>Warrenville</t>
  </si>
  <si>
    <t>GUNZBURGER FOUNDATION 6520873443</t>
  </si>
  <si>
    <t>25-6887650</t>
  </si>
  <si>
    <t>MEUSE FAMILY FOUNDATION</t>
  </si>
  <si>
    <t>26-0017844</t>
  </si>
  <si>
    <t>1234 E Broad St</t>
  </si>
  <si>
    <t>Columbus</t>
  </si>
  <si>
    <t xml:space="preserve">AWS FOUNDATION INC                                                    </t>
  </si>
  <si>
    <t>26-0142813</t>
  </si>
  <si>
    <t>8515 Bluffton Rd</t>
  </si>
  <si>
    <t>Fort Wayne</t>
  </si>
  <si>
    <t>Gay Su Pinnell Education Foundation</t>
  </si>
  <si>
    <t>26-0405593</t>
  </si>
  <si>
    <t>8599 Dunsinane Dr</t>
  </si>
  <si>
    <t>NIEL C AND KAREN M ELLERBROOKFAMILY FOUNDATION INC</t>
  </si>
  <si>
    <t>26-0431032</t>
  </si>
  <si>
    <t>35 Johnson Pl</t>
  </si>
  <si>
    <t>Evansville</t>
  </si>
  <si>
    <t>JOHN AND JACOLYN BUCKSBAUM FAMILYFOUNDATION</t>
  </si>
  <si>
    <t>26-0450497</t>
  </si>
  <si>
    <t>1 N Franklin St Ste 625</t>
  </si>
  <si>
    <t>MARTIN AND MARY L BOYER FOUNDATION</t>
  </si>
  <si>
    <t>26-0587477</t>
  </si>
  <si>
    <t>709 Carlyle Ct</t>
  </si>
  <si>
    <t>Northbrook</t>
  </si>
  <si>
    <t>ROBERT AND JEANNE DIESEL FOUNDATION</t>
  </si>
  <si>
    <t>26-0601850</t>
  </si>
  <si>
    <t>425 Walnut St Ste 1800</t>
  </si>
  <si>
    <t>BEGONIA CHARITABLE FOUNDATION</t>
  </si>
  <si>
    <t>26-1549505</t>
  </si>
  <si>
    <t>3256 S East Torch Lake Dr</t>
  </si>
  <si>
    <t>Bellaire</t>
  </si>
  <si>
    <t>KRISTINA B MILLER MEMORIAL FOUNDATION INC</t>
  </si>
  <si>
    <t>26-1554519</t>
  </si>
  <si>
    <t>PERRY FAMILY TRUST</t>
  </si>
  <si>
    <t>26-1634350</t>
  </si>
  <si>
    <t>111 W Monroe St Tax Div 16w</t>
  </si>
  <si>
    <t>TERRY D AND CAROL A AGNESS FAMILY FOUNDATION</t>
  </si>
  <si>
    <t>26-2521253</t>
  </si>
  <si>
    <t>13 Ridgeline Dr</t>
  </si>
  <si>
    <t>Brownsburg</t>
  </si>
  <si>
    <t>ARNO GUNTHER CHARITABLE FOUNDATION</t>
  </si>
  <si>
    <t>26-2522556</t>
  </si>
  <si>
    <t>Po Box 649</t>
  </si>
  <si>
    <t>Neenah</t>
  </si>
  <si>
    <t>HABDANK FOUNDATION</t>
  </si>
  <si>
    <t>26-2857440</t>
  </si>
  <si>
    <t>2810 Avenue Of The Woods</t>
  </si>
  <si>
    <t>SKIP AND MEG HERMAN FAMILY FOUNDATION</t>
  </si>
  <si>
    <t>26-3033542</t>
  </si>
  <si>
    <t>3800 N Lake Shore Dr Ste 13b</t>
  </si>
  <si>
    <t>MARY C CURRIE FOUNDATION</t>
  </si>
  <si>
    <t>26-3232113</t>
  </si>
  <si>
    <t>1401 North Parkway</t>
  </si>
  <si>
    <t>Midland</t>
  </si>
  <si>
    <t>GOTZION FAMILY FOUNDATION INC</t>
  </si>
  <si>
    <t>26-3902140</t>
  </si>
  <si>
    <t>6592 Lake Rd Ste D</t>
  </si>
  <si>
    <t>Windsor</t>
  </si>
  <si>
    <t>SHEFFIELD FOUNDATION</t>
  </si>
  <si>
    <t>26-4124633</t>
  </si>
  <si>
    <t>707 Moffett Rd</t>
  </si>
  <si>
    <t>Lake Bluff</t>
  </si>
  <si>
    <t>JOHN C BOCK FOUNDATION</t>
  </si>
  <si>
    <t>26-6014448</t>
  </si>
  <si>
    <t>411 E Wisconsin Ave Ste 1000</t>
  </si>
  <si>
    <t>JOHN MARSHALL FAMILY FOUNDATION</t>
  </si>
  <si>
    <t>26-6107463</t>
  </si>
  <si>
    <t>429 N Willow Wood Dr</t>
  </si>
  <si>
    <t>Palatine</t>
  </si>
  <si>
    <t>SOURLIS IRRV CHARITABLE TR</t>
  </si>
  <si>
    <t>26-6158755</t>
  </si>
  <si>
    <t>9204 Columbia Avenue</t>
  </si>
  <si>
    <t>Munster</t>
  </si>
  <si>
    <t>ST FRANCIS OF ASSISI TR</t>
  </si>
  <si>
    <t>26-6352790</t>
  </si>
  <si>
    <t>2001 S Main St</t>
  </si>
  <si>
    <t>Necedah</t>
  </si>
  <si>
    <t>FROM HIS HAND FOUNDATION</t>
  </si>
  <si>
    <t>27-0563840</t>
  </si>
  <si>
    <t>556 W State Street</t>
  </si>
  <si>
    <t>Sycamore</t>
  </si>
  <si>
    <t>MERLE &amp; SHERI DE WITT FOUNDATION</t>
  </si>
  <si>
    <t>27-0769508</t>
  </si>
  <si>
    <t>Po Box 2007</t>
  </si>
  <si>
    <t>Holland</t>
  </si>
  <si>
    <t>JAMES AND LEIGH PETERSON FAMILY FOUNDATION INC</t>
  </si>
  <si>
    <t>27-1561234</t>
  </si>
  <si>
    <t>W240n2385 Pewaukee Rd</t>
  </si>
  <si>
    <t>ANNA &amp; HAROLD W HUFFMAN FOUNDATION</t>
  </si>
  <si>
    <t>27-2098174</t>
  </si>
  <si>
    <t>C/O Cors Bassett 537 E Pete Rose Wa</t>
  </si>
  <si>
    <t>BERGSTEIN FAMILY FOUNDATION</t>
  </si>
  <si>
    <t>27-3008211</t>
  </si>
  <si>
    <t>271 White Oak Ln</t>
  </si>
  <si>
    <t>UNVERFEHRT CHARITABLE FOUNDATION</t>
  </si>
  <si>
    <t>27-3469866</t>
  </si>
  <si>
    <t>6 Rolling Ridge Rd</t>
  </si>
  <si>
    <t>Millstadt</t>
  </si>
  <si>
    <t>EVELYN M BACH COMBINED TR</t>
  </si>
  <si>
    <t>27-6333037</t>
  </si>
  <si>
    <t>MAURICE C FUNK SECOND AMENDMENT TRUST AGREEMENT</t>
  </si>
  <si>
    <t>27-6760929</t>
  </si>
  <si>
    <t>1211 W Morton Ave</t>
  </si>
  <si>
    <t>Jacksonville</t>
  </si>
  <si>
    <t>MARYS ALABASTER JAR RESIDUAL TR</t>
  </si>
  <si>
    <t>27-6701338</t>
  </si>
  <si>
    <t>528 N Market St</t>
  </si>
  <si>
    <t>Mount Carmel</t>
  </si>
  <si>
    <t>ROBERT A AND MARIAN K KENNEDY CHARITABLE TR</t>
  </si>
  <si>
    <t>30-0044978</t>
  </si>
  <si>
    <t>600 Vine Street</t>
  </si>
  <si>
    <t>THE JOHN R BURT &amp; MILDRED B BURT CHARITABLE FOUNDATION</t>
  </si>
  <si>
    <t>30-0081622</t>
  </si>
  <si>
    <t>525 W Morley Dr</t>
  </si>
  <si>
    <t>Saginaw</t>
  </si>
  <si>
    <t>FREEPORT COMMUNITY FOUNDATION</t>
  </si>
  <si>
    <t>30-0080762</t>
  </si>
  <si>
    <t>524 W Stephenson Street</t>
  </si>
  <si>
    <t>Freeport</t>
  </si>
  <si>
    <t>EDWARD W LOVE FOUNDATION</t>
  </si>
  <si>
    <t>30-0106879</t>
  </si>
  <si>
    <t>Po Box 3646</t>
  </si>
  <si>
    <t>JUANITA M SMITH FOUNDATION INC</t>
  </si>
  <si>
    <t>30-0145001</t>
  </si>
  <si>
    <t>201 N Illinois Street</t>
  </si>
  <si>
    <t>TAMAR AND JONATHAN KOSCHITZKY FAMILY FOUNDATION</t>
  </si>
  <si>
    <t>30-0149723</t>
  </si>
  <si>
    <t>30 South Wells Street No 4049</t>
  </si>
  <si>
    <t>ALRO STEEL FOUNDATION</t>
  </si>
  <si>
    <t>30-0254220</t>
  </si>
  <si>
    <t>3100 E High St</t>
  </si>
  <si>
    <t>Jackson</t>
  </si>
  <si>
    <t>ELIZABETH WALLINGFORD OLD WASHINGTON PRESERVATION INC</t>
  </si>
  <si>
    <t>30-0257930</t>
  </si>
  <si>
    <t>4023 Us 62</t>
  </si>
  <si>
    <t>Maysville</t>
  </si>
  <si>
    <t>LOST MAN FOUNDATION</t>
  </si>
  <si>
    <t>30-6001097</t>
  </si>
  <si>
    <t>807 E Palatine Rd</t>
  </si>
  <si>
    <t>PROCTOR PATTERSON FOUNDATION</t>
  </si>
  <si>
    <t>30-6081504</t>
  </si>
  <si>
    <t>Po Box 94651</t>
  </si>
  <si>
    <t>MARVIN AND MARVA KOMISAROW FOUNDATION</t>
  </si>
  <si>
    <t>30-6261631</t>
  </si>
  <si>
    <t>7002 Woodcroft Ln</t>
  </si>
  <si>
    <t>R WELLS HARRISON MEMORIAL UW TR</t>
  </si>
  <si>
    <t>30-6380577</t>
  </si>
  <si>
    <t>135 S Lasalle St Il4-135-14-40</t>
  </si>
  <si>
    <t>MSU FOUNDATION INC</t>
  </si>
  <si>
    <t>31-1003236</t>
  </si>
  <si>
    <t>150 University Blvd</t>
  </si>
  <si>
    <t>Morehead</t>
  </si>
  <si>
    <t xml:space="preserve">THE PUTNAM COUNTY COMMUNITY FOUNDATION INC                            </t>
  </si>
  <si>
    <t>31-1159916</t>
  </si>
  <si>
    <t>2 S Jackson St</t>
  </si>
  <si>
    <t>Greencastle</t>
  </si>
  <si>
    <t>TIPTON COUNTY FOUNDATION INC</t>
  </si>
  <si>
    <t>31-1175045</t>
  </si>
  <si>
    <t>PO Box 412</t>
  </si>
  <si>
    <t>1020 W. Jefferson St.</t>
  </si>
  <si>
    <t>Tipton</t>
  </si>
  <si>
    <t>Elkhart County Community Foundation, Inc.</t>
  </si>
  <si>
    <t>31-1255886</t>
  </si>
  <si>
    <t>PO Box 2932</t>
  </si>
  <si>
    <t>Elkhart</t>
  </si>
  <si>
    <t>Dayton Foundation Charitable Accounts, Inc.</t>
  </si>
  <si>
    <t>31-1330325</t>
  </si>
  <si>
    <t>40 N. Main Street</t>
  </si>
  <si>
    <t>Suite 500</t>
  </si>
  <si>
    <t>Dayton</t>
  </si>
  <si>
    <t>DAYTON AREA GRADUATE STUDIES INSTITUTE</t>
  </si>
  <si>
    <t>31-1435431</t>
  </si>
  <si>
    <t>3155 Research Blvd Ste 205</t>
  </si>
  <si>
    <t>Kettering</t>
  </si>
  <si>
    <t>THOMAS R GROSS FAMILY FOUNDATION</t>
  </si>
  <si>
    <t>31-1529104</t>
  </si>
  <si>
    <t>1241 Gibbard Ave</t>
  </si>
  <si>
    <t>E KENNETH AND ESTHER MARIE HATTON FOUNDATION</t>
  </si>
  <si>
    <t>31-1533046</t>
  </si>
  <si>
    <t>1776 Mentor Avenue</t>
  </si>
  <si>
    <t>THE C WALDER PARKE FAMILY FOUNDATION</t>
  </si>
  <si>
    <t>31-1535130</t>
  </si>
  <si>
    <t>18829 Fairmount Blvd</t>
  </si>
  <si>
    <t>Shaker Hts</t>
  </si>
  <si>
    <t>MILLIRON FOUNDATION</t>
  </si>
  <si>
    <t>31-1541621</t>
  </si>
  <si>
    <t>Po Box 1026</t>
  </si>
  <si>
    <t>Mansfield</t>
  </si>
  <si>
    <t>SIEMER FAMILY FOUNDATION</t>
  </si>
  <si>
    <t>31-1550556</t>
  </si>
  <si>
    <t>MARY KAY AND JAMES D FARLEY FUND INC</t>
  </si>
  <si>
    <t>31-1590199</t>
  </si>
  <si>
    <t>RACHEL BOYCE LANG CHARITABLE TRUST</t>
  </si>
  <si>
    <t>31-1603385</t>
  </si>
  <si>
    <t>16924 Saint Clair Ave</t>
  </si>
  <si>
    <t>E Liverpool</t>
  </si>
  <si>
    <t>RICHARD D MARTING FOUNDATION INC</t>
  </si>
  <si>
    <t>31-1613573</t>
  </si>
  <si>
    <t>701 6th St</t>
  </si>
  <si>
    <t>Portsmouth</t>
  </si>
  <si>
    <t>PUGDIN MEMORIAL FUND P 61620004</t>
  </si>
  <si>
    <t>31-1663740</t>
  </si>
  <si>
    <t>DONALD L SOLOMON FUND</t>
  </si>
  <si>
    <t>31-1674444</t>
  </si>
  <si>
    <t>6465 Sylvania Ave</t>
  </si>
  <si>
    <t>Sylvania</t>
  </si>
  <si>
    <t>THE WINMAX FOUNDATION INC</t>
  </si>
  <si>
    <t>31-1677020</t>
  </si>
  <si>
    <t>Po Box 1118</t>
  </si>
  <si>
    <t>DONALD A GORDON PRIVATE FOUNDATION</t>
  </si>
  <si>
    <t>31-6672086</t>
  </si>
  <si>
    <t>HERBERT BAUMER EDUCATIONAL TR</t>
  </si>
  <si>
    <t>31-6533478</t>
  </si>
  <si>
    <t>DUANE HINKLE CHARITABLE FOUNDATION</t>
  </si>
  <si>
    <t>32-6256438</t>
  </si>
  <si>
    <t>PYLE FOUNDATION</t>
  </si>
  <si>
    <t>39-1867322</t>
  </si>
  <si>
    <t>C/O The Pyle Group Llc 3500 Corben</t>
  </si>
  <si>
    <t>KOHL FAMILY FOUNDATION</t>
  </si>
  <si>
    <t>39-1911092</t>
  </si>
  <si>
    <t>Po Box 354</t>
  </si>
  <si>
    <t>Elkhart Lake</t>
  </si>
  <si>
    <t>COURTIER FOUNDATION INC</t>
  </si>
  <si>
    <t>39-1935038</t>
  </si>
  <si>
    <t>Po Box 1497</t>
  </si>
  <si>
    <t>ARNOLD AND LOIS DOMER FOUNDATION</t>
  </si>
  <si>
    <t>39-1966526</t>
  </si>
  <si>
    <t>4330 Golf Terrace</t>
  </si>
  <si>
    <t>FRANCIS F CARNES EDUCATION CHARITABLE TR</t>
  </si>
  <si>
    <t>39-1968680</t>
  </si>
  <si>
    <t>316 N Main St</t>
  </si>
  <si>
    <t>Lake Mills</t>
  </si>
  <si>
    <t>GUSTAV AND GLADYS KINDT FOUNDATION</t>
  </si>
  <si>
    <t>39-1971724</t>
  </si>
  <si>
    <t>555 East Wells Street</t>
  </si>
  <si>
    <t>PURPLE MOON FOUNDATION INC</t>
  </si>
  <si>
    <t>39-1975376</t>
  </si>
  <si>
    <t>2201 Lakeland Ave</t>
  </si>
  <si>
    <t>JAMES D &amp; JANE P WATERMOLEN FOUNDATION INC</t>
  </si>
  <si>
    <t>39-2005195</t>
  </si>
  <si>
    <t>5364 Liegeois Rd</t>
  </si>
  <si>
    <t>Abrams</t>
  </si>
  <si>
    <t>JAMES P BIGLEY FOUNDATION INC</t>
  </si>
  <si>
    <t>39-2033163</t>
  </si>
  <si>
    <t>C/O Scott Nettum</t>
  </si>
  <si>
    <t>Deforest</t>
  </si>
  <si>
    <t>JOY FOUNDATION INC</t>
  </si>
  <si>
    <t>39-2039495</t>
  </si>
  <si>
    <t>E5948 852nd Ave</t>
  </si>
  <si>
    <t>Colfax</t>
  </si>
  <si>
    <t>CUMMINGS CHRISTENSEN FAMILY FOUNDATION INC</t>
  </si>
  <si>
    <t>39-2041875</t>
  </si>
  <si>
    <t>701 Deming Way</t>
  </si>
  <si>
    <t>SANDY OAKS FOUNDATION INC</t>
  </si>
  <si>
    <t>39-2043437</t>
  </si>
  <si>
    <t>6907 University Ave</t>
  </si>
  <si>
    <t>Middleton</t>
  </si>
  <si>
    <t>LACROSSE COMMUNITY FOUNDATION</t>
  </si>
  <si>
    <t>39-6037996</t>
  </si>
  <si>
    <t>401 Main Street</t>
  </si>
  <si>
    <t>Ste 205</t>
  </si>
  <si>
    <t>RED ARROW CAMP FOUNDATION INC</t>
  </si>
  <si>
    <t>39-6105876</t>
  </si>
  <si>
    <t>2400 W County Line Rd</t>
  </si>
  <si>
    <t>Mequon</t>
  </si>
  <si>
    <t>TOBOLA EDUCATIONAL FUND 9917250</t>
  </si>
  <si>
    <t>39-6628480</t>
  </si>
  <si>
    <t>EINHORN FAM CHARITABLE TR</t>
  </si>
  <si>
    <t>39-6643717</t>
  </si>
  <si>
    <t>8205 N River Rd</t>
  </si>
  <si>
    <t>CHARLES &amp; KATHRYN CUNNINGHAM FAMILY FOUNDATION</t>
  </si>
  <si>
    <t>41-1855378</t>
  </si>
  <si>
    <t>PHOEBE W SIME TRUST FOR POTTSTOWN HIGH SCHOOL</t>
  </si>
  <si>
    <t>41-1863218</t>
  </si>
  <si>
    <t>WINIFRED EMERSON TRUST</t>
  </si>
  <si>
    <t>42-6362821</t>
  </si>
  <si>
    <t>REINHARDT H &amp; SHIRLEY R JAHN FOUNDATION TR</t>
  </si>
  <si>
    <t>42-6643394</t>
  </si>
  <si>
    <t>2737 Eastwood Ave</t>
  </si>
  <si>
    <t>Evanston</t>
  </si>
  <si>
    <t>DOROTHEA E HOWARD TR</t>
  </si>
  <si>
    <t>42-6616455</t>
  </si>
  <si>
    <t>ANN B AND THOMAS L FRIEDMAN FAMILY FOUNDATION LTD</t>
  </si>
  <si>
    <t>43-2057377</t>
  </si>
  <si>
    <t>HERBERT A &amp; ADRIAN W WOODS FNDN</t>
  </si>
  <si>
    <t>43-6826365</t>
  </si>
  <si>
    <t>ROBERT AND ELEANOR FRANKE CHARITABLE FOUNDATION INC</t>
  </si>
  <si>
    <t>45-0998178</t>
  </si>
  <si>
    <t>N2939 State Rd 16 Suite A</t>
  </si>
  <si>
    <t>TIMOTHY AND VIVIAN SULLIVAN FAMILY CHARITABLE FOUNDATION</t>
  </si>
  <si>
    <t>45-2380634</t>
  </si>
  <si>
    <t>5270 N Lake Dr</t>
  </si>
  <si>
    <t>Whitefish Bay</t>
  </si>
  <si>
    <t>COBB FAMILY FOUNDATION</t>
  </si>
  <si>
    <t>45-4030210</t>
  </si>
  <si>
    <t>Po Box 60</t>
  </si>
  <si>
    <t>Eaton</t>
  </si>
  <si>
    <t>FETH FAMILY FOUNDATION</t>
  </si>
  <si>
    <t>45-4039737</t>
  </si>
  <si>
    <t>3604 W Glencoe Rd</t>
  </si>
  <si>
    <t>Richfield</t>
  </si>
  <si>
    <t>ALAN W SHARON A BRAUN FAMILY FOUNDATION INC</t>
  </si>
  <si>
    <t>45-4122368</t>
  </si>
  <si>
    <t>949 Cedar Hill Dr</t>
  </si>
  <si>
    <t>SEBASTIAN FAMILY CHARITABLE FOUNDATION</t>
  </si>
  <si>
    <t>45-4463043</t>
  </si>
  <si>
    <t>47 Tartan Lakes Dr</t>
  </si>
  <si>
    <t>Westmont</t>
  </si>
  <si>
    <t>REITZEL COOK FAMILY FOUNDATION</t>
  </si>
  <si>
    <t>45-5411521</t>
  </si>
  <si>
    <t>27400 Northwestern Highway</t>
  </si>
  <si>
    <t>Southfield</t>
  </si>
  <si>
    <t>ULLA AND BERTIL BRUNK FAMILY FOUNDATION INC</t>
  </si>
  <si>
    <t>46-0696000</t>
  </si>
  <si>
    <t>1225 Sage St</t>
  </si>
  <si>
    <t>Lake Geneva</t>
  </si>
  <si>
    <t>GEORGE AND ROSE PUCHALL PRIVATE FOUNDATION</t>
  </si>
  <si>
    <t>46-1319734</t>
  </si>
  <si>
    <t>MICHAEL J CUSHING FAMILY FOUNDATION</t>
  </si>
  <si>
    <t>46-1636778</t>
  </si>
  <si>
    <t>333 W Wacker Dr Ste 1700</t>
  </si>
  <si>
    <t>CHADY AND DAVID HALL FOUNDATION</t>
  </si>
  <si>
    <t>46-3068984</t>
  </si>
  <si>
    <t>579 Crystal Lake Rd</t>
  </si>
  <si>
    <t>YONTZ VALOR FOUNDATION</t>
  </si>
  <si>
    <t>46-3402520</t>
  </si>
  <si>
    <t>4425 N Sawyer Rd</t>
  </si>
  <si>
    <t>Oconomowoc</t>
  </si>
  <si>
    <t>ROBERT AND JEAN REID FAMILY FOUNDATION</t>
  </si>
  <si>
    <t>46-7048885</t>
  </si>
  <si>
    <t>111 W Monroe St</t>
  </si>
  <si>
    <t>EDWARD P AND VERDA D WEETH EDUCATIONAL FUND</t>
  </si>
  <si>
    <t>47-6147466</t>
  </si>
  <si>
    <t>LAFAYETTE LIFE FOUNDATION INC</t>
  </si>
  <si>
    <t>51-0524801</t>
  </si>
  <si>
    <t>508 Vermont Dr</t>
  </si>
  <si>
    <t>Lafayette</t>
  </si>
  <si>
    <t>WILLIAMS G &amp; MARY JANE HELMS CHARITABLE FOUNDATION</t>
  </si>
  <si>
    <t>51-6532661</t>
  </si>
  <si>
    <t>MARGARET W AND LORIMER W MIDGETT TRUST</t>
  </si>
  <si>
    <t>52-7100207</t>
  </si>
  <si>
    <t>Dayton Foundation Plus, Inc.</t>
  </si>
  <si>
    <t>54-2101090</t>
  </si>
  <si>
    <t>CLYDE AND MAYCEL CLARK FOUNDATION INC</t>
  </si>
  <si>
    <t>56-2400456</t>
  </si>
  <si>
    <t>Po Box 1505</t>
  </si>
  <si>
    <t>SPRAY FOUNDATION INC</t>
  </si>
  <si>
    <t>58-2219018</t>
  </si>
  <si>
    <t>Po Box 22828</t>
  </si>
  <si>
    <t>HOVEN FAMILY FOUNDATION INC</t>
  </si>
  <si>
    <t>59-3443878</t>
  </si>
  <si>
    <t>1350 Euclid Ave Ste 400</t>
  </si>
  <si>
    <t>TUA PERUCCA FAMILY FOUNDATION</t>
  </si>
  <si>
    <t>59-7277519</t>
  </si>
  <si>
    <t>135 S Lasalle St Il4-135-14-19</t>
  </si>
  <si>
    <t>THE COMMUNITY FOUNDATION OF LOUISVILLE CORPORATE DEPOSITORY IN</t>
  </si>
  <si>
    <t>61-1100993</t>
  </si>
  <si>
    <t>325 W Main St Ste 1110</t>
  </si>
  <si>
    <t>COMMUNITY FOUNDATION OF WEST KENTUCKY INC</t>
  </si>
  <si>
    <t>61-1304905</t>
  </si>
  <si>
    <t>333 Broadway</t>
  </si>
  <si>
    <t>Suite 530</t>
  </si>
  <si>
    <t>Paducah</t>
  </si>
  <si>
    <t>MARSHALL CHARITABLE FOUNDATION INC</t>
  </si>
  <si>
    <t>61-1308522</t>
  </si>
  <si>
    <t>Po Box 7066</t>
  </si>
  <si>
    <t>ALLAN B COPLEY CHARITABLE FOUNDATION</t>
  </si>
  <si>
    <t>61-1458325</t>
  </si>
  <si>
    <t>1015 S Higby St</t>
  </si>
  <si>
    <t>WILLIAM A AND GRACE D BOETTCHER FOUNDATION INC</t>
  </si>
  <si>
    <t>61-1502743</t>
  </si>
  <si>
    <t>1329 W Grand Avenue</t>
  </si>
  <si>
    <t>Port Washington</t>
  </si>
  <si>
    <t>KORTH FAMILY FOUNDATION INC</t>
  </si>
  <si>
    <t>65-0737345</t>
  </si>
  <si>
    <t>Po Box 468</t>
  </si>
  <si>
    <t>Ada</t>
  </si>
  <si>
    <t>TOM AND MARY JOYCE FAMILY FOUNDATION</t>
  </si>
  <si>
    <t>65-1260115</t>
  </si>
  <si>
    <t>812 Oak Street</t>
  </si>
  <si>
    <t>GERTRUDE A BARNETT FOUNDATION</t>
  </si>
  <si>
    <t>65-6245681</t>
  </si>
  <si>
    <t>NANCY ALLISON PERKINS FOUNDATION</t>
  </si>
  <si>
    <t>71-0947614</t>
  </si>
  <si>
    <t>1424 Dartmouth Rd</t>
  </si>
  <si>
    <t>Flossmoor</t>
  </si>
  <si>
    <t>SOPHIA FOUNDATION INC</t>
  </si>
  <si>
    <t>72-1526171</t>
  </si>
  <si>
    <t>384 N Main Street</t>
  </si>
  <si>
    <t>Fond Du Lac</t>
  </si>
  <si>
    <t>NORMAN L JENSEN TRUST</t>
  </si>
  <si>
    <t>80-6011165</t>
  </si>
  <si>
    <t>2333 Riverside Dr</t>
  </si>
  <si>
    <t>Green Bay</t>
  </si>
  <si>
    <t>KINGSBURY MEMORIAL FOUNDATION 50217170</t>
  </si>
  <si>
    <t>81-6078134</t>
  </si>
  <si>
    <t>HARRY W VICKSMAN AND LOUIS L VICKSMAN CHARITABLE TRUST</t>
  </si>
  <si>
    <t>84-6281031</t>
  </si>
  <si>
    <t>RODGER A GRAEF FOUNDATION</t>
  </si>
  <si>
    <t>88-0485247</t>
  </si>
  <si>
    <t>CHARLES PAGELLA CHARITABLE FOUNDATION</t>
  </si>
  <si>
    <t>91-2107324</t>
  </si>
  <si>
    <t>4900 Tiedeman Rd</t>
  </si>
  <si>
    <t>Brooklyn</t>
  </si>
  <si>
    <t>501(c)(3) Private Operating Foundation</t>
  </si>
  <si>
    <t>T23 (Private Operating Foundations)</t>
  </si>
  <si>
    <t>MCKEEN FOUNDATION 02033090722094</t>
  </si>
  <si>
    <t>91-2119007</t>
  </si>
  <si>
    <t>HELEN KATZ CHARITABLE TR</t>
  </si>
  <si>
    <t>33-6366418</t>
  </si>
  <si>
    <t>200 E 12th St Ste B</t>
  </si>
  <si>
    <t>Jeffersonville</t>
  </si>
  <si>
    <t>FAIRFIELD COUNTY FOUNDATION</t>
  </si>
  <si>
    <t>34-1623983</t>
  </si>
  <si>
    <t>162 E. Main Street</t>
  </si>
  <si>
    <t>P.O. Box 159</t>
  </si>
  <si>
    <t>Lancaster</t>
  </si>
  <si>
    <t>MONTEFIORE FOUNDATION</t>
  </si>
  <si>
    <t>34-1788055</t>
  </si>
  <si>
    <t>One David N Myers Pkwy</t>
  </si>
  <si>
    <t>Beachwood</t>
  </si>
  <si>
    <t>FIFTH GENERATION FOUNDATION</t>
  </si>
  <si>
    <t>34-1873460</t>
  </si>
  <si>
    <t>29325 Chagrin Blvd Ste 103</t>
  </si>
  <si>
    <t>Pepper Pike</t>
  </si>
  <si>
    <t>ALEXANDER AND SARAH CUTLER FAMILY FOUNDATION</t>
  </si>
  <si>
    <t>34-1881176</t>
  </si>
  <si>
    <t>Po Box 237</t>
  </si>
  <si>
    <t>Gates Mills</t>
  </si>
  <si>
    <t>WELTY FAMILY FOUNDATION</t>
  </si>
  <si>
    <t>34-1908053</t>
  </si>
  <si>
    <t>276 Lake Pointe Dr</t>
  </si>
  <si>
    <t>WILLIAM C MEIER FOUNDATION</t>
  </si>
  <si>
    <t>34-1942691</t>
  </si>
  <si>
    <t>4949 Deer Ridge Dr N</t>
  </si>
  <si>
    <t>Carmel</t>
  </si>
  <si>
    <t>LAURA B FRICK TR U ITEM 17 UWO</t>
  </si>
  <si>
    <t>34-6513247</t>
  </si>
  <si>
    <t>GOATEE FOUNDATION T-A TR</t>
  </si>
  <si>
    <t>34-7158309</t>
  </si>
  <si>
    <t>Keybank 4900 Tiedeman Rd Oh-01-49-0</t>
  </si>
  <si>
    <t>DOROTHY J MORRIS TR</t>
  </si>
  <si>
    <t>34-7014071</t>
  </si>
  <si>
    <t>3301 Terminal Tower</t>
  </si>
  <si>
    <t>UNITY FOUNDATION OF LAPORTE COUNTY INC</t>
  </si>
  <si>
    <t>35-1658674</t>
  </si>
  <si>
    <t>Po Box 1040</t>
  </si>
  <si>
    <t>Michigan City</t>
  </si>
  <si>
    <t>ROSE AHLBRAND CHARITABLE TRUST</t>
  </si>
  <si>
    <t>35-1843668</t>
  </si>
  <si>
    <t>Po Box 929</t>
  </si>
  <si>
    <t>BEECH GROVE EDUCATION FOUNDATION INC</t>
  </si>
  <si>
    <t>35-1982291</t>
  </si>
  <si>
    <t>5334 Hornet Ave</t>
  </si>
  <si>
    <t>Beech Grove</t>
  </si>
  <si>
    <t>MET FOUNDATION INC</t>
  </si>
  <si>
    <t>35-1995120</t>
  </si>
  <si>
    <t>7406 Washington Blvd</t>
  </si>
  <si>
    <t>BRUCE FAM CHARITABLE FOUNDATION TR</t>
  </si>
  <si>
    <t>35-2015314</t>
  </si>
  <si>
    <t>WELTER FOUNDATION INC</t>
  </si>
  <si>
    <t>35-2023590</t>
  </si>
  <si>
    <t>21027 Riverbrook Ln</t>
  </si>
  <si>
    <t>Bristol</t>
  </si>
  <si>
    <t>DEAN &amp; BARBARA WHITE FAMILY FOUNDATION INC</t>
  </si>
  <si>
    <t>35-2015808</t>
  </si>
  <si>
    <t>1000 E 80th Pl Ste 700n</t>
  </si>
  <si>
    <t>Merrillville</t>
  </si>
  <si>
    <t>ST VINCENT ANDERSON REGIONAL HOSPITAL FOUNDATION INC</t>
  </si>
  <si>
    <t>35-2053693</t>
  </si>
  <si>
    <t>2015 Jackson St</t>
  </si>
  <si>
    <t>Anderson</t>
  </si>
  <si>
    <t>HELEN THOELE FAM FOUNDATION NON-PROFIT TR</t>
  </si>
  <si>
    <t>35-2077050</t>
  </si>
  <si>
    <t>8500 Keystone Crossing</t>
  </si>
  <si>
    <t>JAMES K AND MARY JO RISK FAMILY FOUNDATION INC</t>
  </si>
  <si>
    <t>35-2206352</t>
  </si>
  <si>
    <t>Po Box 5089</t>
  </si>
  <si>
    <t>JOHN &amp; VIRGINIA HANKISON FOUNDATION</t>
  </si>
  <si>
    <t>35-2218778</t>
  </si>
  <si>
    <t>1000 Jackson St</t>
  </si>
  <si>
    <t>Toledo</t>
  </si>
  <si>
    <t>SNYDER FAMILY FOUNDATION NFP</t>
  </si>
  <si>
    <t>35-2274063</t>
  </si>
  <si>
    <t>1 Brickyard Drive</t>
  </si>
  <si>
    <t>Bloomington</t>
  </si>
  <si>
    <t>AMERICAN LEGION NATIONAL EMERGENCY FUND</t>
  </si>
  <si>
    <t>35-6679628</t>
  </si>
  <si>
    <t>Po Box 1055</t>
  </si>
  <si>
    <t>MYRTA J PULLIAM CHARITABLE TR</t>
  </si>
  <si>
    <t>35-6712560</t>
  </si>
  <si>
    <t>201 N Illinois St Ste 700</t>
  </si>
  <si>
    <t>HAROLD H PRATT AND MARJORIE L PRATT MEMORIAL CHARITABLE TR</t>
  </si>
  <si>
    <t>35-6772158</t>
  </si>
  <si>
    <t>8492 E State St</t>
  </si>
  <si>
    <t>Rockford</t>
  </si>
  <si>
    <t>MCKAY ENDOWMENT FUND FBO BETHLEHEM</t>
  </si>
  <si>
    <t>35-6776883</t>
  </si>
  <si>
    <t>BESSIE RICHARDSON SUTTON AND HAROLD ISAAC SUTTON MEMORIAL TR</t>
  </si>
  <si>
    <t>35-7057960</t>
  </si>
  <si>
    <t>50 S La Salle St</t>
  </si>
  <si>
    <t>ARTHUR C AND NANETTE R AVERY CHARITABLE TRUST 2886225210</t>
  </si>
  <si>
    <t>35-7012038</t>
  </si>
  <si>
    <t>THE CHEST FOUNDATION</t>
  </si>
  <si>
    <t>36-3286520</t>
  </si>
  <si>
    <t>2595 Patriot Blvd</t>
  </si>
  <si>
    <t>Glenview</t>
  </si>
  <si>
    <t>DuPage Community Foundation</t>
  </si>
  <si>
    <t>36-3978733</t>
  </si>
  <si>
    <t>104 E. Roosevelt Road, Suite 204</t>
  </si>
  <si>
    <t>Wheaton</t>
  </si>
  <si>
    <t>VIBERN FOUNDATION</t>
  </si>
  <si>
    <t>36-3996796</t>
  </si>
  <si>
    <t>315 Quail Ridge Dr</t>
  </si>
  <si>
    <t>GORDON &amp; KAREN MILLNER FAMILY FOUNDATION</t>
  </si>
  <si>
    <t>36-3998692</t>
  </si>
  <si>
    <t>3535 Patten Rd Apt 7a</t>
  </si>
  <si>
    <t>Highland Park</t>
  </si>
  <si>
    <t>CLARENCE W AND MARILYN G SCHAWK FAMILY FOUNDATION</t>
  </si>
  <si>
    <t>36-3996543</t>
  </si>
  <si>
    <t>1695 S River Rd</t>
  </si>
  <si>
    <t>Des Plaines</t>
  </si>
  <si>
    <t>SPEISER FAMILY FOUNDATION</t>
  </si>
  <si>
    <t>36-4117679</t>
  </si>
  <si>
    <t>135 S Kensington Ave</t>
  </si>
  <si>
    <t>La Grange</t>
  </si>
  <si>
    <t>FIELD-STEPHEN FOUNDATION</t>
  </si>
  <si>
    <t>36-4119196</t>
  </si>
  <si>
    <t>One South Dearborn St Ste 09e021</t>
  </si>
  <si>
    <t>ZUCKERMAN FAMILY FOUNDATION</t>
  </si>
  <si>
    <t>36-4120779</t>
  </si>
  <si>
    <t>1049 Bluff Rd</t>
  </si>
  <si>
    <t>Glencoe</t>
  </si>
  <si>
    <t>MANNE FAMILY FOUNDATION</t>
  </si>
  <si>
    <t>36-4131393</t>
  </si>
  <si>
    <t>123 N Wacker Drive</t>
  </si>
  <si>
    <t>CLARE FOUNDATION</t>
  </si>
  <si>
    <t>36-4134738</t>
  </si>
  <si>
    <t>945 E 93rd St</t>
  </si>
  <si>
    <t>DANIEL AND KAREN LEE FAMILY FOUNDATION</t>
  </si>
  <si>
    <t>36-4157608</t>
  </si>
  <si>
    <t>555 Skokie Blvd Ste 345</t>
  </si>
  <si>
    <t>COHIHO FAMILY FOUNDATION</t>
  </si>
  <si>
    <t>36-4214364</t>
  </si>
  <si>
    <t>108 N Long St</t>
  </si>
  <si>
    <t>Effingham</t>
  </si>
  <si>
    <t>ALBERT &amp; ANNE MANSFIELD FOUNDATION</t>
  </si>
  <si>
    <t>36-4244272</t>
  </si>
  <si>
    <t>999 N Lake Shore Dr</t>
  </si>
  <si>
    <t>SHODEEN FAMILY FOUNDATION</t>
  </si>
  <si>
    <t>36-4294720</t>
  </si>
  <si>
    <t>77 N 1ST St</t>
  </si>
  <si>
    <t>Geneva</t>
  </si>
  <si>
    <t>RYDELL FAMILY FOUNDATION</t>
  </si>
  <si>
    <t>36-4319979</t>
  </si>
  <si>
    <t>1540 N Mulford Rd</t>
  </si>
  <si>
    <t>HALE FOUNDATION</t>
  </si>
  <si>
    <t>36-4321543</t>
  </si>
  <si>
    <t>14 Lakeside Ln</t>
  </si>
  <si>
    <t>N Barrington</t>
  </si>
  <si>
    <t>EVON D AND JACK H KECK FOUNDATION</t>
  </si>
  <si>
    <t>36-4311512</t>
  </si>
  <si>
    <t>29525 110th Ave</t>
  </si>
  <si>
    <t>Cadott</t>
  </si>
  <si>
    <t>GEARY RIMMER VINCENT WOLF FOUNDATION</t>
  </si>
  <si>
    <t>36-4333148</t>
  </si>
  <si>
    <t>1555 North Astor Street</t>
  </si>
  <si>
    <t>RICH FOUNDATION</t>
  </si>
  <si>
    <t>36-4348318</t>
  </si>
  <si>
    <t>Po Box 369</t>
  </si>
  <si>
    <t>Sugar Grove</t>
  </si>
  <si>
    <t>EPSTEIN WENGER FAMILY SUPPORTING FOUNDATION</t>
  </si>
  <si>
    <t>36-4380168</t>
  </si>
  <si>
    <t>BLOOM-BERNHEIM MEMORIAL SCHOLARSHIP FUND</t>
  </si>
  <si>
    <t>36-4511695</t>
  </si>
  <si>
    <t>1849 Green Bay Road</t>
  </si>
  <si>
    <t>UNIVERSITY OF CHICAGO FOUNDATION FOR EMOTIONALLY DISTURBED CHILDREN</t>
  </si>
  <si>
    <t>36-6083633</t>
  </si>
  <si>
    <t>6254 S Ellis Ave</t>
  </si>
  <si>
    <t>D J EDELMAN FAMILY FOUNDATION</t>
  </si>
  <si>
    <t>36-7184921</t>
  </si>
  <si>
    <t>200 East Randolph</t>
  </si>
  <si>
    <t>ROSE C WAGNER CHARITABLE FOUNDATION</t>
  </si>
  <si>
    <t>36-7187235</t>
  </si>
  <si>
    <t>Glenview State Bank 800 Waukegan</t>
  </si>
  <si>
    <t>WINIFRED H KNOX CHARITABLE TRUST</t>
  </si>
  <si>
    <t>36-7288681</t>
  </si>
  <si>
    <t>108 Elm Street</t>
  </si>
  <si>
    <t>Franklin Grove</t>
  </si>
  <si>
    <t>MILNE FAM FOUNDATION</t>
  </si>
  <si>
    <t>36-7317868</t>
  </si>
  <si>
    <t>5456 Shannon Rd</t>
  </si>
  <si>
    <t>Hartford</t>
  </si>
  <si>
    <t>SERR CHARITABLE ACTION TR UW 09242002</t>
  </si>
  <si>
    <t>36-7391628</t>
  </si>
  <si>
    <t>ANITA P GILGER TR UA</t>
  </si>
  <si>
    <t>36-7397502</t>
  </si>
  <si>
    <t>ORVILLE H LARSON AND SHIRLEY I LARSON CHARITABLE TR</t>
  </si>
  <si>
    <t>36-7517145</t>
  </si>
  <si>
    <t>21 E Main St</t>
  </si>
  <si>
    <t>Galesburg</t>
  </si>
  <si>
    <t>SENSER FOUNDATION</t>
  </si>
  <si>
    <t>36-7611461</t>
  </si>
  <si>
    <t>55 S Deere Park Dr</t>
  </si>
  <si>
    <t>REARDON FAM FOUNDATION</t>
  </si>
  <si>
    <t>36-7625365</t>
  </si>
  <si>
    <t>32 Sunset Rd</t>
  </si>
  <si>
    <t>TREE Fund - Tree Research &amp; Education Endowment Fund</t>
  </si>
  <si>
    <t>37-1018692</t>
  </si>
  <si>
    <t>552 S Washington St</t>
  </si>
  <si>
    <t>Ste 109</t>
  </si>
  <si>
    <t>SCHWEINFURTH FOUNDATION</t>
  </si>
  <si>
    <t>37-1331754</t>
  </si>
  <si>
    <t>COMMUNITY FOUNDATION OF THE GREATER DECATUR MACON COUNTY AREA</t>
  </si>
  <si>
    <t>37-1372729</t>
  </si>
  <si>
    <t>125 N Water</t>
  </si>
  <si>
    <t>Ste 200</t>
  </si>
  <si>
    <t>Decatur</t>
  </si>
  <si>
    <t>Illinois Prairie Community Foundation</t>
  </si>
  <si>
    <t>37-1377415</t>
  </si>
  <si>
    <t>2401 E Washington St, Suite 300B</t>
  </si>
  <si>
    <t>J DONALD LEWIS TRUST</t>
  </si>
  <si>
    <t>37-6025187</t>
  </si>
  <si>
    <t>HAROLD &amp; RUTH STRETCH MEMORIAL TRUST</t>
  </si>
  <si>
    <t>37-6337295</t>
  </si>
  <si>
    <t>Po Box 540</t>
  </si>
  <si>
    <t>Terre Haute</t>
  </si>
  <si>
    <t>HELEN S CASEY TRUST 06604908</t>
  </si>
  <si>
    <t>37-6333851</t>
  </si>
  <si>
    <t>THE FREDERICK W AND JOLENE EDMUNDS ROCKWOOD FAMILY FOUNDATION</t>
  </si>
  <si>
    <t>37-6390788</t>
  </si>
  <si>
    <t>116 Callery Pear Dr</t>
  </si>
  <si>
    <t>Batesville</t>
  </si>
  <si>
    <t>THE DOUGLAS &amp; ANGELA BRALY FAMILY FOUNDATION</t>
  </si>
  <si>
    <t>37-6553888</t>
  </si>
  <si>
    <t>832 Alverna Dr</t>
  </si>
  <si>
    <t>U S-CHINA CULTURAL FOUNDATION</t>
  </si>
  <si>
    <t>38-3155351</t>
  </si>
  <si>
    <t>920 E Lincoln St</t>
  </si>
  <si>
    <t>Birmingham</t>
  </si>
  <si>
    <t>HELEN MCCALLA CHARITABLE FOUNDATION</t>
  </si>
  <si>
    <t>38-3195451</t>
  </si>
  <si>
    <t>JOHN R SHOFNITZ CHARITABLE TR</t>
  </si>
  <si>
    <t>38-3206767</t>
  </si>
  <si>
    <t>KLOPCIC FAMILY FOUNDATION</t>
  </si>
  <si>
    <t>38-3211779</t>
  </si>
  <si>
    <t>28100 Gorsuch Ave</t>
  </si>
  <si>
    <t>Romulus</t>
  </si>
  <si>
    <t>DOLL-LOESEL FOUNDATION</t>
  </si>
  <si>
    <t>38-3212771</t>
  </si>
  <si>
    <t>1111 N Water St Ste 401</t>
  </si>
  <si>
    <t>Bay City</t>
  </si>
  <si>
    <t>JENS AND MAUREEN HANSEN CHARITABLE FOUNDATION</t>
  </si>
  <si>
    <t>38-3220087</t>
  </si>
  <si>
    <t>1230 Monroe Ave Nw</t>
  </si>
  <si>
    <t>JEAN M R SMITH FOUNDATION</t>
  </si>
  <si>
    <t>38-3323030</t>
  </si>
  <si>
    <t>Po Box 42</t>
  </si>
  <si>
    <t>Bad Axe</t>
  </si>
  <si>
    <t>HERRINGTON FITCH FAMILY FOUNDATION INC</t>
  </si>
  <si>
    <t>38-3331023</t>
  </si>
  <si>
    <t>Po Box 2210</t>
  </si>
  <si>
    <t>Traverse City</t>
  </si>
  <si>
    <t>MCLOUGHLIN FAMILY FOUNDATION</t>
  </si>
  <si>
    <t>38-3335768</t>
  </si>
  <si>
    <t>Po Box 295</t>
  </si>
  <si>
    <t>Cassopolis</t>
  </si>
  <si>
    <t>HAMMOUD FOUNDATION</t>
  </si>
  <si>
    <t>38-3336881</t>
  </si>
  <si>
    <t>C/O 26300 Telegraph Rd-Second Floor</t>
  </si>
  <si>
    <t>S GARY SPICER SR FOUNDATION</t>
  </si>
  <si>
    <t>38-3341391</t>
  </si>
  <si>
    <t>16845 Kercheval Ave Ste 5</t>
  </si>
  <si>
    <t>Grosse Pointe</t>
  </si>
  <si>
    <t>RUCH FAMILY FOUNDATION</t>
  </si>
  <si>
    <t>38-3345296</t>
  </si>
  <si>
    <t>145 Columbia Ave</t>
  </si>
  <si>
    <t>SADDLE FOUNDATION</t>
  </si>
  <si>
    <t>38-3347262</t>
  </si>
  <si>
    <t>101 N Main Street 7th Floor</t>
  </si>
  <si>
    <t>Ann Arbor</t>
  </si>
  <si>
    <t>PEAK STREET FOUNDATION</t>
  </si>
  <si>
    <t>38-3350363</t>
  </si>
  <si>
    <t>Po Box 787</t>
  </si>
  <si>
    <t>PHYLLIS AND MAX REYNOLDS FOUNDATION INC</t>
  </si>
  <si>
    <t>38-3354883</t>
  </si>
  <si>
    <t>Range Bank 100 N Front Street</t>
  </si>
  <si>
    <t>Marquette</t>
  </si>
  <si>
    <t>JCT FOUNDATION</t>
  </si>
  <si>
    <t>38-3386697</t>
  </si>
  <si>
    <t>6812 Farrell Dr Ne</t>
  </si>
  <si>
    <t>MPS FOUNDATION</t>
  </si>
  <si>
    <t>38-3421778</t>
  </si>
  <si>
    <t>C/O 39533 Woodward Avenue No 200</t>
  </si>
  <si>
    <t>Bloomfield Hills</t>
  </si>
  <si>
    <t>BAIARDI FAMILY FOUNDATION INC</t>
  </si>
  <si>
    <t>38-3430867</t>
  </si>
  <si>
    <t>2328 Pinecrest St</t>
  </si>
  <si>
    <t>Harbor Spgs</t>
  </si>
  <si>
    <t>ARLENE AND FORREST WINSTON PAGE FOUNDATION INC</t>
  </si>
  <si>
    <t>38-3444161</t>
  </si>
  <si>
    <t>30450 Oakview Way</t>
  </si>
  <si>
    <t>Bingham Farms</t>
  </si>
  <si>
    <t>IRVING AND ETHEL PALMAN FOUNDATION</t>
  </si>
  <si>
    <t>38-3452975</t>
  </si>
  <si>
    <t>Po Box 251431</t>
  </si>
  <si>
    <t>W Bloomfield</t>
  </si>
  <si>
    <t>BILL &amp; LOIS SMITH FAMILY FOUNDATION</t>
  </si>
  <si>
    <t>38-3472742</t>
  </si>
  <si>
    <t>1108 Lincoln Rd</t>
  </si>
  <si>
    <t>Allegan</t>
  </si>
  <si>
    <t>DRYDEN FAMILY FOUNDATION</t>
  </si>
  <si>
    <t>38-3527211</t>
  </si>
  <si>
    <t>2560 Dease Lake Rd</t>
  </si>
  <si>
    <t>Hale</t>
  </si>
  <si>
    <t>SPARKS FOUNDATION</t>
  </si>
  <si>
    <t>38-3681215</t>
  </si>
  <si>
    <t>Po Box 667</t>
  </si>
  <si>
    <t>Mattoon</t>
  </si>
  <si>
    <t>SILVER FOUNDATION</t>
  </si>
  <si>
    <t>38-7035132</t>
  </si>
  <si>
    <t>3834 N Janssen Ave</t>
  </si>
  <si>
    <t>WILLIAM &amp; SANDY HEITZ FAMILY FOUND</t>
  </si>
  <si>
    <t>39-1799844</t>
  </si>
  <si>
    <t>10800 N Haddonstone Pl</t>
  </si>
  <si>
    <t>Tellabs Foundation</t>
  </si>
  <si>
    <t>36-4037547</t>
  </si>
  <si>
    <t>1415 W Diehl Rd Msc 10</t>
  </si>
  <si>
    <t>Howell-Adams Family Foundation</t>
  </si>
  <si>
    <t>26-1562185</t>
  </si>
  <si>
    <t>1020 N 13th St</t>
  </si>
  <si>
    <t>Jane &amp; Michael Strauss Family Foundation Inc</t>
  </si>
  <si>
    <t>26-3839762</t>
  </si>
  <si>
    <t>1700 Green Bay Rd Ste 203</t>
  </si>
  <si>
    <t>World Wide Christian School Foundation Inc</t>
  </si>
  <si>
    <t>38-3434799</t>
  </si>
  <si>
    <t>629 Ionia Ave Sw</t>
  </si>
  <si>
    <t>BOND FAMILY FOUNDATION</t>
  </si>
  <si>
    <t>20-8100744</t>
  </si>
  <si>
    <t>233 E Prairie Ave</t>
  </si>
  <si>
    <t>Rumsfeld Foundation</t>
  </si>
  <si>
    <t>26-0580915</t>
  </si>
  <si>
    <t>Po Box 3016</t>
  </si>
  <si>
    <t>LIFETRACT FOUNDATION</t>
  </si>
  <si>
    <t>26-2643205</t>
  </si>
  <si>
    <t>350 N Orleans 7n</t>
  </si>
  <si>
    <t>LUCILLE B DEINZER CHARITABLE TR</t>
  </si>
  <si>
    <t>26-6251718</t>
  </si>
  <si>
    <t>102 E Front St</t>
  </si>
  <si>
    <t>Monroe</t>
  </si>
  <si>
    <t>Gloyd Family Foundation</t>
  </si>
  <si>
    <t>36-4140796</t>
  </si>
  <si>
    <t>809 Detweiller Dr Ste Kupper</t>
  </si>
  <si>
    <t>GRATIOT COUNTY COMMUNITY FOUNDATION</t>
  </si>
  <si>
    <t>38-3087756</t>
  </si>
  <si>
    <t>Po Box 248</t>
  </si>
  <si>
    <t>Ithaca</t>
  </si>
  <si>
    <t>SIMON AND MARY VANDERKOOY FOUNDATION</t>
  </si>
  <si>
    <t>38-3245131</t>
  </si>
  <si>
    <t>5300 Northland Dr Ne Ste G</t>
  </si>
  <si>
    <t>WILLIAM AND MARIE FOUNDATION CORP</t>
  </si>
  <si>
    <t>38-3567851</t>
  </si>
  <si>
    <t>3565 Roland Dr</t>
  </si>
  <si>
    <t>Bloomfield</t>
  </si>
  <si>
    <t>Lkc Foundation</t>
  </si>
  <si>
    <t>31-1490185</t>
  </si>
  <si>
    <t>3536 Edwards Rd Ste 201</t>
  </si>
  <si>
    <t>Thelma Webb Scholarship Tr</t>
  </si>
  <si>
    <t>34-7216212</t>
  </si>
  <si>
    <t>MILDRED J DINWIDDLE TRUST 06610014</t>
  </si>
  <si>
    <t>37-6227814</t>
  </si>
  <si>
    <t>Elaine and Rankin Peck Family Foundation</t>
  </si>
  <si>
    <t>38-3354189</t>
  </si>
  <si>
    <t>200 Maple Park Blvd Ste 201</t>
  </si>
  <si>
    <t>St Clair Shores</t>
  </si>
  <si>
    <t>Glenn &amp; Elizabeth Sargent Endowment Fund</t>
  </si>
  <si>
    <t>38-6794787</t>
  </si>
  <si>
    <t>Earl and Brenda Shapiro Foundation</t>
  </si>
  <si>
    <t>45-0524597</t>
  </si>
  <si>
    <t>111 E Wacker Dr Ste 2607</t>
  </si>
  <si>
    <t>SCHRIBER FAMILY FOUNDATION</t>
  </si>
  <si>
    <t>54-2135622</t>
  </si>
  <si>
    <t>2116 Dorset Rd</t>
  </si>
  <si>
    <t>JASTEKA FOUNDATION INC</t>
  </si>
  <si>
    <t>61-1356020</t>
  </si>
  <si>
    <t>266 America Pl</t>
  </si>
  <si>
    <t>Jeffersonvlle</t>
  </si>
  <si>
    <t>Jerry and Laura Jacobson Foundation Inc</t>
  </si>
  <si>
    <t>26-2971454</t>
  </si>
  <si>
    <t>Po Box 427</t>
  </si>
  <si>
    <t>Sugarcreek</t>
  </si>
  <si>
    <t>Maurice and Hester Lowenthal Foundation Inc</t>
  </si>
  <si>
    <t>31-1202968</t>
  </si>
  <si>
    <t>6670 W Beechlands Dr</t>
  </si>
  <si>
    <t>Richard H Brown Foundation</t>
  </si>
  <si>
    <t>38-3267368</t>
  </si>
  <si>
    <t>6293 Cannon Highland Dr Ne</t>
  </si>
  <si>
    <t>Belmont</t>
  </si>
  <si>
    <t>Clara Faber Foundation</t>
  </si>
  <si>
    <t>38-3672582</t>
  </si>
  <si>
    <t>1872 Front St</t>
  </si>
  <si>
    <t>Cuyahoga Fls</t>
  </si>
  <si>
    <t>Moller Family Foundation</t>
  </si>
  <si>
    <t>61-1677884</t>
  </si>
  <si>
    <t>1006 Forest Ave</t>
  </si>
  <si>
    <t>Robert and Debra Peterson Charitable Foundation</t>
  </si>
  <si>
    <t>26-3420990</t>
  </si>
  <si>
    <t>Elmer A Sander Charitable Trust</t>
  </si>
  <si>
    <t>43-6267452</t>
  </si>
  <si>
    <t>CAROL AND RALPH HAILE JR FOUNDATION</t>
  </si>
  <si>
    <t>54-2135984</t>
  </si>
  <si>
    <t>425 Walnut St Cn-Oh-W11f</t>
  </si>
  <si>
    <t>Family Alliance Foundation</t>
  </si>
  <si>
    <t>26-4568728</t>
  </si>
  <si>
    <t>C/O Iris Krieg Assoc 333 N Mic</t>
  </si>
  <si>
    <t>Willmas Charitable Trust</t>
  </si>
  <si>
    <t>32-6042143</t>
  </si>
  <si>
    <t>Graham R Putnam Family Foundation</t>
  </si>
  <si>
    <t>36-4188818</t>
  </si>
  <si>
    <t>7645 Blue Gentian Ct</t>
  </si>
  <si>
    <t>Dexter</t>
  </si>
  <si>
    <t>Community Foundation of Southern Wisconsin, Inc.</t>
  </si>
  <si>
    <t>39-1711388</t>
  </si>
  <si>
    <t>26 S. Jackson Street</t>
  </si>
  <si>
    <t>Janesville</t>
  </si>
  <si>
    <t>Eugene J Eder Charitable Foundation Inc</t>
  </si>
  <si>
    <t>39-1870043</t>
  </si>
  <si>
    <t>788 N Jefferson St Ste 200</t>
  </si>
  <si>
    <t>Wisne Charitable Foundation</t>
  </si>
  <si>
    <t>38-3269446</t>
  </si>
  <si>
    <t>39810 Grand River Ave Ste C-200</t>
  </si>
  <si>
    <t>Novi</t>
  </si>
  <si>
    <t>Imc Chicago Charitable Foundation</t>
  </si>
  <si>
    <t>26-1416954</t>
  </si>
  <si>
    <t>233 S Wacker Dr Ste 4610</t>
  </si>
  <si>
    <t>Jordan and Jean Nerenberg Family Foundation</t>
  </si>
  <si>
    <t>36-4142543</t>
  </si>
  <si>
    <t>1555 N Astor St Apt 31e</t>
  </si>
  <si>
    <t>Casten Family Foundation Inc</t>
  </si>
  <si>
    <t>13-4074089</t>
  </si>
  <si>
    <t>8 E 3rd St</t>
  </si>
  <si>
    <t>Hinsdale</t>
  </si>
  <si>
    <t>Van Kampen Boyer Molinari Charitable Foundation</t>
  </si>
  <si>
    <t>20-1190854</t>
  </si>
  <si>
    <t>5440 Farr Rd</t>
  </si>
  <si>
    <t>Fruitport</t>
  </si>
  <si>
    <t>Craig Young Family Foundation</t>
  </si>
  <si>
    <t>31-1423879</t>
  </si>
  <si>
    <t>7104 Ravens Run</t>
  </si>
  <si>
    <t>Johnson Foundation Inc</t>
  </si>
  <si>
    <t>38-3675289</t>
  </si>
  <si>
    <t>33 East Four Mile Road</t>
  </si>
  <si>
    <t>Racine</t>
  </si>
  <si>
    <t>Daniel M Soref Rvoc Tr</t>
  </si>
  <si>
    <t>39-6758434</t>
  </si>
  <si>
    <t>Po Box 170504</t>
  </si>
  <si>
    <t>Terra Foundation for American Art</t>
  </si>
  <si>
    <t>36-2999442</t>
  </si>
  <si>
    <t>120 East Erie Street</t>
  </si>
  <si>
    <t>Blue Cap Foundation Inc</t>
  </si>
  <si>
    <t>33-1032988</t>
  </si>
  <si>
    <t>2155 Broadway St</t>
  </si>
  <si>
    <t>Blue Island</t>
  </si>
  <si>
    <t>Freedom 22 Foundation</t>
  </si>
  <si>
    <t>35-6653987</t>
  </si>
  <si>
    <t>6376 Dawson Lake Dr</t>
  </si>
  <si>
    <t>The Richard M &amp; Yvonne Hamlin Foundation</t>
  </si>
  <si>
    <t>34-1812974</t>
  </si>
  <si>
    <t>3560 W Market St Ste 300</t>
  </si>
  <si>
    <t>Fairlawn</t>
  </si>
  <si>
    <t>Dayenu Foundation</t>
  </si>
  <si>
    <t>27-3008834</t>
  </si>
  <si>
    <t>169 Monroe Ave Nw Ste 350</t>
  </si>
  <si>
    <t>Howley Family Foundation</t>
  </si>
  <si>
    <t>30-0193364</t>
  </si>
  <si>
    <t>9725 Lake Shore Blvd</t>
  </si>
  <si>
    <t>Owsley Brown Frazier Family Foundation Inc</t>
  </si>
  <si>
    <t>31-1571175</t>
  </si>
  <si>
    <t>1141 Rostrevor Cir</t>
  </si>
  <si>
    <t>Lowe Family Foundation Inc</t>
  </si>
  <si>
    <t>31-1739056</t>
  </si>
  <si>
    <t>8044 Montgomery Rd Ste 480</t>
  </si>
  <si>
    <t>Peoria Area Community Foundation dba Community Foundation of Central Illinois</t>
  </si>
  <si>
    <t>37-1185713</t>
  </si>
  <si>
    <t>331 Fulton</t>
  </si>
  <si>
    <t>Ste 310</t>
  </si>
  <si>
    <t>CME Group Foundation</t>
  </si>
  <si>
    <t>45-0575574</t>
  </si>
  <si>
    <t>20 S Wacker Dr</t>
  </si>
  <si>
    <t>Neil E Park Family Foundation Inc</t>
  </si>
  <si>
    <t>45-2619448</t>
  </si>
  <si>
    <t>622 W Washington Ave</t>
  </si>
  <si>
    <t>The William and Elaine Kaplan Family Charitable Foundation</t>
  </si>
  <si>
    <t>14-1803633</t>
  </si>
  <si>
    <t>TED AND JANE VON VOIGTLANDERFOUNDATION</t>
  </si>
  <si>
    <t>20-5003935</t>
  </si>
  <si>
    <t>109 W Clinton St</t>
  </si>
  <si>
    <t>Howell</t>
  </si>
  <si>
    <t>Clm Park Foundation Inc</t>
  </si>
  <si>
    <t>20-5564740</t>
  </si>
  <si>
    <t>1625 N Golf Gln Unit C</t>
  </si>
  <si>
    <t>Lato Family Foundation Inc</t>
  </si>
  <si>
    <t>20-5677633</t>
  </si>
  <si>
    <t>S27w29293 Jennie Ct</t>
  </si>
  <si>
    <t>Brookhill Foundation</t>
  </si>
  <si>
    <t>20-5818635</t>
  </si>
  <si>
    <t>N14 W23755 Stone Ridge Drive, Suite 250</t>
  </si>
  <si>
    <t>Dohmen Family Foundation Inc</t>
  </si>
  <si>
    <t>20-8179222</t>
  </si>
  <si>
    <t>3903 W Mequon Rd</t>
  </si>
  <si>
    <t>Fairmount Minerals Foundation</t>
  </si>
  <si>
    <t>26-1428733</t>
  </si>
  <si>
    <t>8834 Mayfield Rd</t>
  </si>
  <si>
    <t>Chesterland</t>
  </si>
  <si>
    <t>Mitchell J and Mary Ellen LAMKA Foundation</t>
  </si>
  <si>
    <t>27-3181533</t>
  </si>
  <si>
    <t>6611 North Ave Ste 105</t>
  </si>
  <si>
    <t>Oak Park</t>
  </si>
  <si>
    <t>Pritzker Family Foundation</t>
  </si>
  <si>
    <t>30-0039820</t>
  </si>
  <si>
    <t>111 S Wacker Dr Ste 4000</t>
  </si>
  <si>
    <t>Showers Family Foundation</t>
  </si>
  <si>
    <t>34-1865312</t>
  </si>
  <si>
    <t>C/O David M Showers 9839 Strausser</t>
  </si>
  <si>
    <t>Canal Fulton</t>
  </si>
  <si>
    <t>Osa Foundation</t>
  </si>
  <si>
    <t>72-1589724</t>
  </si>
  <si>
    <t>351 W Hubbard Street</t>
  </si>
  <si>
    <t>South Madison Community Foundation, Inc.</t>
  </si>
  <si>
    <t>35-1839759</t>
  </si>
  <si>
    <t>233 S. Main Street</t>
  </si>
  <si>
    <t>Pendleton</t>
  </si>
  <si>
    <t>BRANCH COUNTY COMMUNITY FOUNDATION INC</t>
  </si>
  <si>
    <t>38-3021071</t>
  </si>
  <si>
    <t>2 W Chicago Street</t>
  </si>
  <si>
    <t>Suite E-1</t>
  </si>
  <si>
    <t>Coldwater</t>
  </si>
  <si>
    <t>HILLSDALE COUNTY COMMUNITY FOUNDATION</t>
  </si>
  <si>
    <t>38-3001297</t>
  </si>
  <si>
    <t>PO Box 276</t>
  </si>
  <si>
    <t>Hillsdale</t>
  </si>
  <si>
    <t>Tom and Julie Wood Family Foundation Inc</t>
  </si>
  <si>
    <t>27-4826335</t>
  </si>
  <si>
    <t>3003 E 98th Street</t>
  </si>
  <si>
    <t>The Oneamerica Foundation Inc</t>
  </si>
  <si>
    <t>31-1146437</t>
  </si>
  <si>
    <t>Po Box 368</t>
  </si>
  <si>
    <t>Wood-Byer Foundation</t>
  </si>
  <si>
    <t>31-1433019</t>
  </si>
  <si>
    <t>5100 Rollman Estates Dr</t>
  </si>
  <si>
    <t>Jadetree Foundation Charitable Foundation</t>
  </si>
  <si>
    <t>34-1840630</t>
  </si>
  <si>
    <t>25201 Chagrin Blvd Ste 370</t>
  </si>
  <si>
    <t>Hart N and Simona Hasten Family Foundation Inc</t>
  </si>
  <si>
    <t>35-1998919</t>
  </si>
  <si>
    <t>4525 Saguaro Trl</t>
  </si>
  <si>
    <t>WELBORN BAPTIST FOUNDATION INC</t>
  </si>
  <si>
    <t>35-2056722</t>
  </si>
  <si>
    <t>Twentyone Southeast Third Street</t>
  </si>
  <si>
    <t>ERNEST WENTCHER EDUCATIONAL FUND</t>
  </si>
  <si>
    <t>36-4170236</t>
  </si>
  <si>
    <t>Po Box 11079</t>
  </si>
  <si>
    <t>Perri Family Foundation</t>
  </si>
  <si>
    <t>36-4143117</t>
  </si>
  <si>
    <t>66 Sunningdale Dr</t>
  </si>
  <si>
    <t>Andrah Foundation</t>
  </si>
  <si>
    <t>38-3267840</t>
  </si>
  <si>
    <t>Po Box 618</t>
  </si>
  <si>
    <t>Clinton</t>
  </si>
  <si>
    <t>Anchor Foundation</t>
  </si>
  <si>
    <t>38-3353871</t>
  </si>
  <si>
    <t>3141 Lakeshore Dr N</t>
  </si>
  <si>
    <t>The Wayne and Joan Webber Foundation</t>
  </si>
  <si>
    <t>38-3390733</t>
  </si>
  <si>
    <t>44710 Morley Dr</t>
  </si>
  <si>
    <t>Clinton Twp</t>
  </si>
  <si>
    <t>Farrehi Family Foundation Inc</t>
  </si>
  <si>
    <t>38-3451359</t>
  </si>
  <si>
    <t>Po Box 446</t>
  </si>
  <si>
    <t>Goodrich</t>
  </si>
  <si>
    <t>John C and Mary Jane Howard Foundation</t>
  </si>
  <si>
    <t>38-3452536</t>
  </si>
  <si>
    <t>180 Union St S</t>
  </si>
  <si>
    <t>Townsend Foundation Inc</t>
  </si>
  <si>
    <t>39-2000037</t>
  </si>
  <si>
    <t>111 East Wisconsin Ave</t>
  </si>
  <si>
    <t>Martha Sue Parr Tr</t>
  </si>
  <si>
    <t>41-6519559</t>
  </si>
  <si>
    <t>Gerson Family Foundation</t>
  </si>
  <si>
    <t>46-1519949</t>
  </si>
  <si>
    <t>305 W Big Beaver Rd</t>
  </si>
  <si>
    <t>Troy</t>
  </si>
  <si>
    <t>Irvin F and Alice S Etscorn Charitable Foundation</t>
  </si>
  <si>
    <t>61-1314419</t>
  </si>
  <si>
    <t>Po Box 32760</t>
  </si>
  <si>
    <t>Town of Creede Trust 1010023110</t>
  </si>
  <si>
    <t>84-6319129</t>
  </si>
  <si>
    <t>PERMANENTLY DISABLED JOCKEYS FUND INC</t>
  </si>
  <si>
    <t>20-5110346</t>
  </si>
  <si>
    <t>Po Box 803</t>
  </si>
  <si>
    <t>Elmhurst</t>
  </si>
  <si>
    <t>Community Foundation of Southern Indiana, Inc.</t>
  </si>
  <si>
    <t>35-1827813</t>
  </si>
  <si>
    <t>4104 Charlestown Road</t>
  </si>
  <si>
    <t>New Albany</t>
  </si>
  <si>
    <t>Rauch Foundation Inc</t>
  </si>
  <si>
    <t>35-2000865</t>
  </si>
  <si>
    <t>845 Park Pl</t>
  </si>
  <si>
    <t>Crossroads Fund</t>
  </si>
  <si>
    <t>36-3092907</t>
  </si>
  <si>
    <t>3411 W Diversey #20</t>
  </si>
  <si>
    <t>Maak Foundation</t>
  </si>
  <si>
    <t>01-0556625</t>
  </si>
  <si>
    <t>C/O Friedman Huey Associates Llp</t>
  </si>
  <si>
    <t>Homewood</t>
  </si>
  <si>
    <t>Alabaster Fund</t>
  </si>
  <si>
    <t>20-0126213</t>
  </si>
  <si>
    <t>810 Cottageview Dr Ste 103</t>
  </si>
  <si>
    <t>The Fortney Foundation</t>
  </si>
  <si>
    <t>20-8082606</t>
  </si>
  <si>
    <t>31269 Bradley Rd</t>
  </si>
  <si>
    <t>North Olmsted</t>
  </si>
  <si>
    <t>ARDMORE FOUNDATION INC</t>
  </si>
  <si>
    <t>34-1663328</t>
  </si>
  <si>
    <t>981 E Market St</t>
  </si>
  <si>
    <t>Oberweiler Foundation</t>
  </si>
  <si>
    <t>36-4376705</t>
  </si>
  <si>
    <t>1250 South Grove Street</t>
  </si>
  <si>
    <t>Barrington</t>
  </si>
  <si>
    <t>THE HURON COUNTY COMMUNITY FOUNDATION</t>
  </si>
  <si>
    <t>38-3160009</t>
  </si>
  <si>
    <t>PO Box 56</t>
  </si>
  <si>
    <t>Jerry L and Marcia D Tubergen Foundation</t>
  </si>
  <si>
    <t>38-3297265</t>
  </si>
  <si>
    <t>126 Ottawa Ave Nw Ste 500</t>
  </si>
  <si>
    <t>Jack and Sally Burt Charitable Foundation</t>
  </si>
  <si>
    <t>45-6627698</t>
  </si>
  <si>
    <t>4468 Oakbridge Dr</t>
  </si>
  <si>
    <t>Flint</t>
  </si>
  <si>
    <t>Timothy and Sheila Patton Family Charitable Trust</t>
  </si>
  <si>
    <t>46-6453265</t>
  </si>
  <si>
    <t>24 Frank Lloyd Wright Dr No A3300</t>
  </si>
  <si>
    <t>REITZEL FOUNDATION</t>
  </si>
  <si>
    <t>20-4021570</t>
  </si>
  <si>
    <t>COLUMBUS BAR FOUNDATION</t>
  </si>
  <si>
    <t>23-7150505</t>
  </si>
  <si>
    <t>175 S Third St 11th Floor No 1100</t>
  </si>
  <si>
    <t>KLOIBER FOUNDATION INC</t>
  </si>
  <si>
    <t>27-1117156</t>
  </si>
  <si>
    <t>333 W Vine St</t>
  </si>
  <si>
    <t>CLARY MEMORIAL TR</t>
  </si>
  <si>
    <t>27-7012186</t>
  </si>
  <si>
    <t>SWAMY FAMILY FOUNDATION</t>
  </si>
  <si>
    <t>30-0049982</t>
  </si>
  <si>
    <t>C/O 20600 Chagrin Blvd</t>
  </si>
  <si>
    <t>JULIA AND TUNNICLIFF FOX CHARITABLE TRUST</t>
  </si>
  <si>
    <t>30-6395514</t>
  </si>
  <si>
    <t>135 S Lasalle St Ste Il4-</t>
  </si>
  <si>
    <t>WILLIAM F O NEILL CHAR TUA</t>
  </si>
  <si>
    <t>30-6348609</t>
  </si>
  <si>
    <t>135 S Lasalle St Ste 1l4</t>
  </si>
  <si>
    <t>GAYNOR FAMILY FOUNDATION</t>
  </si>
  <si>
    <t>31-1581372</t>
  </si>
  <si>
    <t>212 E 3rd St Ste 200</t>
  </si>
  <si>
    <t>HERBERT K AND ELIZABETH M ANSPACH FAMILY FOUNDATION</t>
  </si>
  <si>
    <t>31-1804118</t>
  </si>
  <si>
    <t>120 South Riverside Plaza</t>
  </si>
  <si>
    <t>SALEM COMMUNITY FOUNDATION INC</t>
  </si>
  <si>
    <t>34-1001130</t>
  </si>
  <si>
    <t>Po Box 553</t>
  </si>
  <si>
    <t>Salem</t>
  </si>
  <si>
    <t>GREATER ALLIANCE FOUNDATION INC</t>
  </si>
  <si>
    <t>34-1873212</t>
  </si>
  <si>
    <t>960 West State Street</t>
  </si>
  <si>
    <t>Alliance</t>
  </si>
  <si>
    <t>EDWARD F CRAWFORD FOUNDATION</t>
  </si>
  <si>
    <t>34-1870890</t>
  </si>
  <si>
    <t>6065 Parkland Blvd</t>
  </si>
  <si>
    <t>TOLEDO ROTARY CLUB FOUNDATION</t>
  </si>
  <si>
    <t>34-1934738</t>
  </si>
  <si>
    <t>101 N Summit St No 436</t>
  </si>
  <si>
    <t>HOWARD DUHAMEL &amp; LETA M IRRV TR FILING AS AN ESTATE UNDER SECT 645</t>
  </si>
  <si>
    <t>34-7204038</t>
  </si>
  <si>
    <t>J K FAMILY FOUNDATION INC</t>
  </si>
  <si>
    <t>35-1994015</t>
  </si>
  <si>
    <t>6454 Holliday Dr W</t>
  </si>
  <si>
    <t>HOCHBERG-LOWENSTEIN GRANDCHILDRENS FOUNDATION</t>
  </si>
  <si>
    <t>36-4118721</t>
  </si>
  <si>
    <t>9056 Karlov Ave</t>
  </si>
  <si>
    <t>Skokie</t>
  </si>
  <si>
    <t>SENATOR MAURICE AND FLORENCE LIPSCHER CHARITABLE FUND</t>
  </si>
  <si>
    <t>36-4524953</t>
  </si>
  <si>
    <t>FRANKEL FAMILY FOUNDATION</t>
  </si>
  <si>
    <t>36-7337220</t>
  </si>
  <si>
    <t>1700 W Irving Park Rd Ste 203</t>
  </si>
  <si>
    <t>SCHALON FOUNDATION</t>
  </si>
  <si>
    <t>38-3341098</t>
  </si>
  <si>
    <t>4418 Tanglewood Trl</t>
  </si>
  <si>
    <t>Saint Joseph</t>
  </si>
  <si>
    <t>THE CHARLEVOIX FOUNDATION</t>
  </si>
  <si>
    <t>41-2264569</t>
  </si>
  <si>
    <t>204 E Chicago Ave</t>
  </si>
  <si>
    <t>THEODORE G SHORT TR FBO UNIVERISTY OF MO SCHOOL OF VETEINIARY MED</t>
  </si>
  <si>
    <t>43-6711690</t>
  </si>
  <si>
    <t>LANDEN FAMILY FOUNDATION INC</t>
  </si>
  <si>
    <t>56-2407331</t>
  </si>
  <si>
    <t>602 Main Street</t>
  </si>
  <si>
    <t>ROBERT W &amp; JUNE M LLOYD CHARITABLE TR</t>
  </si>
  <si>
    <t>91-6573273</t>
  </si>
  <si>
    <t>The United Way of Youngstown and the Mahoning Valley</t>
  </si>
  <si>
    <t>34-0714598</t>
  </si>
  <si>
    <t>255 Watt St</t>
  </si>
  <si>
    <t>Fred T &amp; Maxine Humes MEM Scholarship 03003795</t>
  </si>
  <si>
    <t>45-6568012</t>
  </si>
  <si>
    <t>106 N Market St</t>
  </si>
  <si>
    <t>N Manchester</t>
  </si>
  <si>
    <t>Owsley Brown Ii Family Philanthropic Foundation Inc</t>
  </si>
  <si>
    <t>46-1517850</t>
  </si>
  <si>
    <t>333 E Main St Ste 401</t>
  </si>
  <si>
    <t>Clyde N Day Trust</t>
  </si>
  <si>
    <t>47-1970195</t>
  </si>
  <si>
    <t>510 Washington Ave</t>
  </si>
  <si>
    <t>Newport</t>
  </si>
  <si>
    <t>Community Foundation of Northern Illinois</t>
  </si>
  <si>
    <t>36-4402089</t>
  </si>
  <si>
    <t>946 N 2nd St</t>
  </si>
  <si>
    <t>William Belmont Backs and Louise Nuxoll Backs</t>
  </si>
  <si>
    <t>34-7158121</t>
  </si>
  <si>
    <t>38 Fountain Square Plaza</t>
  </si>
  <si>
    <t xml:space="preserve">SCHOOLS THAT CAN MILWAUKEE INC                                        </t>
  </si>
  <si>
    <t>27-2818891</t>
  </si>
  <si>
    <t>111 W. Pleasant St.</t>
  </si>
  <si>
    <t>Suite 101</t>
  </si>
  <si>
    <t>Sisters of Charity Foundation of South Carolina</t>
  </si>
  <si>
    <t>57-0708391</t>
  </si>
  <si>
    <t>2475 E 22nd St</t>
  </si>
  <si>
    <t>EVSC FOUNDATION INC</t>
  </si>
  <si>
    <t>26-2863843</t>
  </si>
  <si>
    <t>951 Walnut St</t>
  </si>
  <si>
    <t>Community Foundation of Greater Lorain County</t>
  </si>
  <si>
    <t>34-1322781</t>
  </si>
  <si>
    <t>9080 Leavitt Road</t>
  </si>
  <si>
    <t>Elyria</t>
  </si>
  <si>
    <t>Greater Akron Musical Asociation Foundation</t>
  </si>
  <si>
    <t>34-1635435</t>
  </si>
  <si>
    <t>92 N Main St</t>
  </si>
  <si>
    <t>Carl Jacobs Foundation</t>
  </si>
  <si>
    <t>80-0604309</t>
  </si>
  <si>
    <t>Po Box 630858</t>
  </si>
  <si>
    <t>Anchor Foundation Inc</t>
  </si>
  <si>
    <t>71-0929809</t>
  </si>
  <si>
    <t>2149 Middleton Bea</t>
  </si>
  <si>
    <t>Harry &amp; Violet Adler Memorial Trust</t>
  </si>
  <si>
    <t>36-7281808</t>
  </si>
  <si>
    <t>Ed &amp; Joann Hubert Family Foundation Inc</t>
  </si>
  <si>
    <t>22-3883114</t>
  </si>
  <si>
    <t>6170 W Fork Rd</t>
  </si>
  <si>
    <t>Wctc Foundation Inc</t>
  </si>
  <si>
    <t>39-1325835</t>
  </si>
  <si>
    <t>800 Main St</t>
  </si>
  <si>
    <t>Pewaukee</t>
  </si>
  <si>
    <t>Ann Arbor Area Community Foundation</t>
  </si>
  <si>
    <t>38-6087967</t>
  </si>
  <si>
    <t>301 N. Main St</t>
  </si>
  <si>
    <t>Ste 300</t>
  </si>
  <si>
    <t>Knights Templar Eye Foundation, Inc.</t>
  </si>
  <si>
    <t>52-0686958</t>
  </si>
  <si>
    <t>1000 East State Parkway</t>
  </si>
  <si>
    <t>Suite I</t>
  </si>
  <si>
    <t>Schaumburg</t>
  </si>
  <si>
    <t>Bedford Community Foundation</t>
  </si>
  <si>
    <t>38-3544941</t>
  </si>
  <si>
    <t>Po Box 54</t>
  </si>
  <si>
    <t>Lambertville</t>
  </si>
  <si>
    <t>Jefferson Community Foundation Tr Ua 06091999</t>
  </si>
  <si>
    <t>39-6712170</t>
  </si>
  <si>
    <t>Po Box 81</t>
  </si>
  <si>
    <t>Jefferson</t>
  </si>
  <si>
    <t>ELKS NATIONAL FOUNDATION INC</t>
  </si>
  <si>
    <t>26-3718342</t>
  </si>
  <si>
    <t>2750 N Lakeview Ave</t>
  </si>
  <si>
    <t>% James W O Kelley III</t>
  </si>
  <si>
    <t>Eskenazi Family Foundation Inc</t>
  </si>
  <si>
    <t>37-1500990</t>
  </si>
  <si>
    <t>10689 N Pennsylvania St</t>
  </si>
  <si>
    <t>William C &amp; Dorotha Gaedke Charitable Tr</t>
  </si>
  <si>
    <t>39-6767863</t>
  </si>
  <si>
    <t>Po Box 2043</t>
  </si>
  <si>
    <t>RICHARD P AND DORIS BENEICKE FAMILY FOUNDATION</t>
  </si>
  <si>
    <t>20-0442532</t>
  </si>
  <si>
    <t>33477 Woodward Ave Ste 700</t>
  </si>
  <si>
    <t>Johnson Charitable Gift Fund</t>
  </si>
  <si>
    <t>30-0233491</t>
  </si>
  <si>
    <t>3777 West Fork Rd</t>
  </si>
  <si>
    <t>J S PALUCH FOUNDATION</t>
  </si>
  <si>
    <t>36-7106905</t>
  </si>
  <si>
    <t>520 N Hicks Rd Ste 120</t>
  </si>
  <si>
    <t>CULVERS VIP FOUNDATION INC</t>
  </si>
  <si>
    <t>39-2042139</t>
  </si>
  <si>
    <t>1240 Water St</t>
  </si>
  <si>
    <t>Pr Du Sac</t>
  </si>
  <si>
    <t>EISENBERG FAMILY TR</t>
  </si>
  <si>
    <t>52-7091392</t>
  </si>
  <si>
    <t>Gorman Family Foundation</t>
  </si>
  <si>
    <t>26-2710751</t>
  </si>
  <si>
    <t>Po Box 2599</t>
  </si>
  <si>
    <t>Fairview Foundation</t>
  </si>
  <si>
    <t>36-3632069</t>
  </si>
  <si>
    <t>210 Village Dr</t>
  </si>
  <si>
    <t>The Foundation for the Center for Hospice and Palliative Care Inc</t>
  </si>
  <si>
    <t>30-0433147</t>
  </si>
  <si>
    <t>111 Sunnybrook Ct</t>
  </si>
  <si>
    <t>South Bend</t>
  </si>
  <si>
    <t>Sisters of Charity of St Augustine Health System</t>
  </si>
  <si>
    <t>34-1379356</t>
  </si>
  <si>
    <t>2475 East 22nd Street</t>
  </si>
  <si>
    <t>E21 (Community Health Systems)</t>
  </si>
  <si>
    <t>Washington County Community Foundation, Inc.</t>
  </si>
  <si>
    <t>35-1883377</t>
  </si>
  <si>
    <t>1707 North Shelby Street, Suite 100</t>
  </si>
  <si>
    <t>PO Box 50</t>
  </si>
  <si>
    <t>YMCA Foundation</t>
  </si>
  <si>
    <t>30-0187652</t>
  </si>
  <si>
    <t>1401 Broadway Blvd Suite 3a</t>
  </si>
  <si>
    <t>Community Foundation for the Fox Valley Region, Inc.</t>
  </si>
  <si>
    <t>39-1548450</t>
  </si>
  <si>
    <t>PO Box 563</t>
  </si>
  <si>
    <t>Appleton</t>
  </si>
  <si>
    <t>Constance W and James W Brown Jr Family Foundation Inc</t>
  </si>
  <si>
    <t>20-3289903</t>
  </si>
  <si>
    <t>1 Propeller Pl</t>
  </si>
  <si>
    <t>Piqua</t>
  </si>
  <si>
    <t>McWhirter Family Foundation Inc</t>
  </si>
  <si>
    <t>20-8439258</t>
  </si>
  <si>
    <t>Galion Community Foundation 021-006</t>
  </si>
  <si>
    <t>31-6023104</t>
  </si>
  <si>
    <t>135 Harding Way W</t>
  </si>
  <si>
    <t>Galion</t>
  </si>
  <si>
    <t>OSCAR G &amp; ELSA S MAYER FAMILY FOUNDATION</t>
  </si>
  <si>
    <t>36-4035204</t>
  </si>
  <si>
    <t>190 S Lasalle St Ste 610</t>
  </si>
  <si>
    <t>Christopher B Galvin Family Foundation</t>
  </si>
  <si>
    <t>55-0887504</t>
  </si>
  <si>
    <t>33 Indian Hill Rd</t>
  </si>
  <si>
    <t>Jake and Jennie G Sable Charitable Educational Tr Uw</t>
  </si>
  <si>
    <t>61-1347203</t>
  </si>
  <si>
    <t>Po Box 3276</t>
  </si>
  <si>
    <t>Morton Community Foundation</t>
  </si>
  <si>
    <t>37-1397503</t>
  </si>
  <si>
    <t>105 E Jefferson St</t>
  </si>
  <si>
    <t>Morton</t>
  </si>
  <si>
    <t>Norman A &amp; Susan A Pappas Family Foundation</t>
  </si>
  <si>
    <t>38-2582300</t>
  </si>
  <si>
    <t>Po Box 2030 6735 Telegraph Road</t>
  </si>
  <si>
    <t>Efs Foundation</t>
  </si>
  <si>
    <t>36-4219647</t>
  </si>
  <si>
    <t>1695 Larkin Ave</t>
  </si>
  <si>
    <t>Elgin</t>
  </si>
  <si>
    <t>Francis Beidler Foundation</t>
  </si>
  <si>
    <t>36-4260449</t>
  </si>
  <si>
    <t>53 W Jackson Blvd Ste 530</t>
  </si>
  <si>
    <t>The Richard H Driehaus Foundation</t>
  </si>
  <si>
    <t>36-3261347</t>
  </si>
  <si>
    <t>25 E Erie St</t>
  </si>
  <si>
    <t>The Walsh Foundation</t>
  </si>
  <si>
    <t>36-3994447</t>
  </si>
  <si>
    <t>190 S Lasalle St Ste 1700</t>
  </si>
  <si>
    <t>Ian and Miriam Rolland Foundation Inc</t>
  </si>
  <si>
    <t>35-1944302</t>
  </si>
  <si>
    <t>110 W Berry St Ste 2400</t>
  </si>
  <si>
    <t>Robert Lee Blaffer Foundation Inc</t>
  </si>
  <si>
    <t>35-2129847</t>
  </si>
  <si>
    <t>Po Box 399</t>
  </si>
  <si>
    <t>New Harmony</t>
  </si>
  <si>
    <t>Arzbaecher Family Foundation</t>
  </si>
  <si>
    <t>26-1148157</t>
  </si>
  <si>
    <t>17425 Morningview Ct</t>
  </si>
  <si>
    <t>Brookfield</t>
  </si>
  <si>
    <t>PETER KINNEY AND LISA SANDQUIST FOUNDATION</t>
  </si>
  <si>
    <t>35-2431656</t>
  </si>
  <si>
    <t>303 W Madison St Ste 1000</t>
  </si>
  <si>
    <t>Perry Family Charitable Foundation</t>
  </si>
  <si>
    <t>46-1528640</t>
  </si>
  <si>
    <t>191 N Wacker Dr Ste 1100</t>
  </si>
  <si>
    <t>Audrey Ballschmider Tr Uw 12191996</t>
  </si>
  <si>
    <t>39-6788557</t>
  </si>
  <si>
    <t>Shirley A Shultz Charitable Trust</t>
  </si>
  <si>
    <t>55-6101141</t>
  </si>
  <si>
    <t>10 S Dearborn Ste 21 Fl</t>
  </si>
  <si>
    <t>Aj &amp; MD Ruggiero Memorial Trust</t>
  </si>
  <si>
    <t>86-6240840</t>
  </si>
  <si>
    <t>Aurora Health Foundation Inc</t>
  </si>
  <si>
    <t>93-0828294</t>
  </si>
  <si>
    <t>750 W Virginia St Po Box 341180</t>
  </si>
  <si>
    <t>UNITED WAY OF GREATER STARK COUNTY INC</t>
  </si>
  <si>
    <t>13-4254191</t>
  </si>
  <si>
    <t>401 Market Ave N Ste 300</t>
  </si>
  <si>
    <t>Champaign Urbana  Schools Foundation</t>
  </si>
  <si>
    <t>37-1273798</t>
  </si>
  <si>
    <t>PO Box 1166</t>
  </si>
  <si>
    <t>Champaign</t>
  </si>
  <si>
    <t>B12 (Fund Raising and/or Fund Distribution)</t>
  </si>
  <si>
    <t>INDIANA BAR FOUNDATION</t>
  </si>
  <si>
    <t>35-6032377</t>
  </si>
  <si>
    <t>615 N. Alabama Street Suite 122</t>
  </si>
  <si>
    <t>CLINTON COUNTY FOUNDATION</t>
  </si>
  <si>
    <t>31-1140087</t>
  </si>
  <si>
    <t>48 N. South St.</t>
  </si>
  <si>
    <t>Wilmington</t>
  </si>
  <si>
    <t>Fred E &amp; Thelma V Boze Foundation</t>
  </si>
  <si>
    <t>13-4217752</t>
  </si>
  <si>
    <t>500 W Jefferson St 1st Floor</t>
  </si>
  <si>
    <t>Nancy Chappelear Weldon Foundation</t>
  </si>
  <si>
    <t>77-0559952</t>
  </si>
  <si>
    <t>7261 Engle Rd Ste 202</t>
  </si>
  <si>
    <t>Elizabeth N Robb Charitable Foundation</t>
  </si>
  <si>
    <t>77-6238653</t>
  </si>
  <si>
    <t>Northern Trust CO 02-32915 Charitable</t>
  </si>
  <si>
    <t>36-6147253</t>
  </si>
  <si>
    <t>Tuktawa Foundation</t>
  </si>
  <si>
    <t>38-3393453</t>
  </si>
  <si>
    <t>4812 Willow Ln</t>
  </si>
  <si>
    <t>Orchard Lake</t>
  </si>
  <si>
    <t>Dale R &amp; Ruth L Michels Family Foundation</t>
  </si>
  <si>
    <t>39-1949453</t>
  </si>
  <si>
    <t>Po Box 414</t>
  </si>
  <si>
    <t>Brownsville</t>
  </si>
  <si>
    <t>Robert A Immerman Family Foundation</t>
  </si>
  <si>
    <t>27-4209752</t>
  </si>
  <si>
    <t>30725 Solon Industrial Pkwy</t>
  </si>
  <si>
    <t>Solon</t>
  </si>
  <si>
    <t>David and Carole Barron Foundation</t>
  </si>
  <si>
    <t>31-1521552</t>
  </si>
  <si>
    <t>Enterprise Education Foundation</t>
  </si>
  <si>
    <t>20-5493852</t>
  </si>
  <si>
    <t>Po Box 266</t>
  </si>
  <si>
    <t>La Pointe</t>
  </si>
  <si>
    <t>Greater Green Bay Community Foundation, Inc.</t>
  </si>
  <si>
    <t>39-1699966</t>
  </si>
  <si>
    <t>310 W. Walnut Street</t>
  </si>
  <si>
    <t>Ste 350</t>
  </si>
  <si>
    <t>Willow Springs Charitable Tr</t>
  </si>
  <si>
    <t>20-4383299</t>
  </si>
  <si>
    <t>10897 S Rt 78</t>
  </si>
  <si>
    <t>Mount Carroll</t>
  </si>
  <si>
    <t>IRENE HORRIGAN FOUNDATION TUA</t>
  </si>
  <si>
    <t>30-6302332</t>
  </si>
  <si>
    <t>231 S Lasalle St Il1-231-10-07</t>
  </si>
  <si>
    <t>Homewood Family Foundation</t>
  </si>
  <si>
    <t>46-1095356</t>
  </si>
  <si>
    <t>2020 E Choctaw Dr</t>
  </si>
  <si>
    <t>London</t>
  </si>
  <si>
    <t>Kresge Foundation</t>
  </si>
  <si>
    <t>38-1359217</t>
  </si>
  <si>
    <t>3215 W Big Beaver Rd</t>
  </si>
  <si>
    <t>Day Spring Foundation Inc</t>
  </si>
  <si>
    <t>61-1273310</t>
  </si>
  <si>
    <t>3430 Day Spring Ct</t>
  </si>
  <si>
    <t>Catalyst Foundation</t>
  </si>
  <si>
    <t>30-0286950</t>
  </si>
  <si>
    <t>191 N Wacker Dr Ste 1500</t>
  </si>
  <si>
    <t>Price Family Foundation Inc</t>
  </si>
  <si>
    <t>34-1857959</t>
  </si>
  <si>
    <t>99 W Main St</t>
  </si>
  <si>
    <t>Douglas R and Margo Yellin Woll Family Foundation</t>
  </si>
  <si>
    <t>26-3869457</t>
  </si>
  <si>
    <t>3311 Woodview Lake Rd</t>
  </si>
  <si>
    <t>Geisen Scheper Charitable Foundation Inc</t>
  </si>
  <si>
    <t>31-1532441</t>
  </si>
  <si>
    <t>Joe &amp; Kim Lukens Fam Foundation</t>
  </si>
  <si>
    <t>31-1642444</t>
  </si>
  <si>
    <t>6565 Ludlum Rd</t>
  </si>
  <si>
    <t>Morrow</t>
  </si>
  <si>
    <t>John Reed Charitable Residuary Tr</t>
  </si>
  <si>
    <t>31-6626699</t>
  </si>
  <si>
    <t>L &amp; H Foundation</t>
  </si>
  <si>
    <t>38-3348542</t>
  </si>
  <si>
    <t>32606 Pine Ridge Dr</t>
  </si>
  <si>
    <t>Warren</t>
  </si>
  <si>
    <t>Rhs Foundation</t>
  </si>
  <si>
    <t>27-3721197</t>
  </si>
  <si>
    <t>1610 5th Ave</t>
  </si>
  <si>
    <t>Moline</t>
  </si>
  <si>
    <t>J Floyd Garlow Trust Uw</t>
  </si>
  <si>
    <t>55-6040097</t>
  </si>
  <si>
    <t>Middletown Community Foundation</t>
  </si>
  <si>
    <t>31-0898380</t>
  </si>
  <si>
    <t>300 North Main Street</t>
  </si>
  <si>
    <t>Suite 300</t>
  </si>
  <si>
    <t>Middletown</t>
  </si>
  <si>
    <t>Three Rivers Area Foundation, Inc.</t>
  </si>
  <si>
    <t>38-2051672</t>
  </si>
  <si>
    <t>P.O. Box 453</t>
  </si>
  <si>
    <t>Three Rivers</t>
  </si>
  <si>
    <t>Dickinson County Area Community Foundation</t>
  </si>
  <si>
    <t>38-3218990</t>
  </si>
  <si>
    <t>333 S Stephenson Ave Ste 204</t>
  </si>
  <si>
    <t>Iron Mountain</t>
  </si>
  <si>
    <t>Community Foundation Of The Upper Peninsula</t>
  </si>
  <si>
    <t>38-3227080</t>
  </si>
  <si>
    <t>2420 1st Avenue South</t>
  </si>
  <si>
    <t>Ste 101</t>
  </si>
  <si>
    <t>Escanaba</t>
  </si>
  <si>
    <t>Matthew 6 Foundation</t>
  </si>
  <si>
    <t>31-1809447</t>
  </si>
  <si>
    <t>3650 Olentangy River Rd Ste 401</t>
  </si>
  <si>
    <t>Ravitz Foundation</t>
  </si>
  <si>
    <t>38-3508943</t>
  </si>
  <si>
    <t>514 S Rose St</t>
  </si>
  <si>
    <t>Kalamazoo</t>
  </si>
  <si>
    <t>Watertown Area Community Foundation</t>
  </si>
  <si>
    <t>39-1708484</t>
  </si>
  <si>
    <t>Po Box 351</t>
  </si>
  <si>
    <t>Watertown</t>
  </si>
  <si>
    <t>Growing Tree Foundation Inc</t>
  </si>
  <si>
    <t>46-1533212</t>
  </si>
  <si>
    <t>100 Riverside Pl Unit 1004</t>
  </si>
  <si>
    <t>Covington</t>
  </si>
  <si>
    <t>Fanny Pung Charitable Foundation</t>
  </si>
  <si>
    <t>20-7158943</t>
  </si>
  <si>
    <t>111 W Monroe St Tax Div 10c</t>
  </si>
  <si>
    <t>St Sebastian Parish Foundation</t>
  </si>
  <si>
    <t>23-7115850</t>
  </si>
  <si>
    <t>476 Mull Ave</t>
  </si>
  <si>
    <t>Dudley D and Delores R Malone Family Foundation</t>
  </si>
  <si>
    <t>26-2989590</t>
  </si>
  <si>
    <t>10 S Wacker Dr Ste 4000</t>
  </si>
  <si>
    <t>Thedacare Family of Foundations Inc</t>
  </si>
  <si>
    <t>46-4112255</t>
  </si>
  <si>
    <t>Po Box 1222</t>
  </si>
  <si>
    <t>American Osteopathic Colleges of Opthalmology and Otolaryngology</t>
  </si>
  <si>
    <t>51-1457551</t>
  </si>
  <si>
    <t>4764 Fishburg Rd</t>
  </si>
  <si>
    <t>Huber Heights</t>
  </si>
  <si>
    <t>Community Foundation of South Central Kentucky Inc</t>
  </si>
  <si>
    <t>61-1284951</t>
  </si>
  <si>
    <t>Po Box 737</t>
  </si>
  <si>
    <t>Bowling Green</t>
  </si>
  <si>
    <t>DOWN SYNDROME ASSOCIATION OF WEST MICHIGAN FOUNDATION</t>
  </si>
  <si>
    <t>46-0635003</t>
  </si>
  <si>
    <t>233 Fulton St E Ste 124</t>
  </si>
  <si>
    <t>HAIGANOOSH MENGUSHIAN AJEMIAN ROBERT AJEMIAN GLORIA ETC</t>
  </si>
  <si>
    <t>27-0476819</t>
  </si>
  <si>
    <t>2338 Heronwood Dr</t>
  </si>
  <si>
    <t>Bloomfld Hls</t>
  </si>
  <si>
    <t>GEORGE H DEUBLE FOUNDATION</t>
  </si>
  <si>
    <t>34-1806245</t>
  </si>
  <si>
    <t>4900 Tiedeman Road-1st Floor</t>
  </si>
  <si>
    <t>PHYLLIS &amp; SIDNEY REISMAN FOUNDATION</t>
  </si>
  <si>
    <t>34-1881441</t>
  </si>
  <si>
    <t>3201 Enterprise Pkwy Ste 320</t>
  </si>
  <si>
    <t>LOUISE K SMITH FOUNDATION</t>
  </si>
  <si>
    <t>34-7183475</t>
  </si>
  <si>
    <t>70 E Cedar Ste 202</t>
  </si>
  <si>
    <t>MORRIS COMMUNITY FOUNDATION</t>
  </si>
  <si>
    <t>36-4299824</t>
  </si>
  <si>
    <t>102 Liberty Street</t>
  </si>
  <si>
    <t>Morris</t>
  </si>
  <si>
    <t>Paul W Franke Family Foundation</t>
  </si>
  <si>
    <t>20-1166896</t>
  </si>
  <si>
    <t>760 Chalmers Ct</t>
  </si>
  <si>
    <t>Lake Forest</t>
  </si>
  <si>
    <t>John J &amp; Ruth F Kloss Charitable Tr 050010251200</t>
  </si>
  <si>
    <t>39-6790033</t>
  </si>
  <si>
    <t>Kazrus Foundation</t>
  </si>
  <si>
    <t>20-1762096</t>
  </si>
  <si>
    <t>Po Box 307</t>
  </si>
  <si>
    <t>ST CROIX VALLEY COMMUNITY FOUNDATION</t>
  </si>
  <si>
    <t>41-1817315</t>
  </si>
  <si>
    <t>516 Second Street, Suite 214</t>
  </si>
  <si>
    <t>Hudson</t>
  </si>
  <si>
    <t>Miller Charitable Foundation</t>
  </si>
  <si>
    <t>41-2056936</t>
  </si>
  <si>
    <t>Po Box 1086</t>
  </si>
  <si>
    <t>Wooster</t>
  </si>
  <si>
    <t>Wabash County Hospital Foundation Inc</t>
  </si>
  <si>
    <t>35-1921445</t>
  </si>
  <si>
    <t>710 N East St</t>
  </si>
  <si>
    <t>Wabash</t>
  </si>
  <si>
    <t>EVANSTON COMMUNITY FOUNDATION INC</t>
  </si>
  <si>
    <t>36-3466802</t>
  </si>
  <si>
    <t>1007 Church St Ste 108</t>
  </si>
  <si>
    <t>The Leelanau Township Community Foundation Inc</t>
  </si>
  <si>
    <t>38-6060138</t>
  </si>
  <si>
    <t>Po Box 818</t>
  </si>
  <si>
    <t>Northport</t>
  </si>
  <si>
    <t>Milwaukee Public Schools Foundation Incorporated</t>
  </si>
  <si>
    <t>39-1929112</t>
  </si>
  <si>
    <t>5225 W Vliet St</t>
  </si>
  <si>
    <t>Delta Dental of Illinois Foundation</t>
  </si>
  <si>
    <t>26-2700504</t>
  </si>
  <si>
    <t>111 Shuman Blvd</t>
  </si>
  <si>
    <t>E70 (Public Health Program)</t>
  </si>
  <si>
    <t>Jerome S Glazer Foundation Inc</t>
  </si>
  <si>
    <t>31-1787788</t>
  </si>
  <si>
    <t>9200 Floral Ave</t>
  </si>
  <si>
    <t>Virginia Conlogue Foundation</t>
  </si>
  <si>
    <t>31-1807237</t>
  </si>
  <si>
    <t>6610 Golf Green Dr</t>
  </si>
  <si>
    <t>Centerville</t>
  </si>
  <si>
    <t>Dorothy B Francis Charitable Founda Tion</t>
  </si>
  <si>
    <t>35-2235189</t>
  </si>
  <si>
    <t>8044 Montgomery Rd Ste 720</t>
  </si>
  <si>
    <t>Transitions Foundation</t>
  </si>
  <si>
    <t>36-4490795</t>
  </si>
  <si>
    <t>Quincy</t>
  </si>
  <si>
    <t>Eaton Charitable Fund</t>
  </si>
  <si>
    <t>34-6501856</t>
  </si>
  <si>
    <t>4900 Tiedeman Rd Oh 01 49 0150</t>
  </si>
  <si>
    <t>Moca Cleveland Realty Foundation</t>
  </si>
  <si>
    <t>27-3527971</t>
  </si>
  <si>
    <t>11400 Euclid Avenue</t>
  </si>
  <si>
    <t>The Edith and Frances Mulhall Achilles Memorial Fund</t>
  </si>
  <si>
    <t>13-7102170</t>
  </si>
  <si>
    <t>Morton Feldman Foundation</t>
  </si>
  <si>
    <t>26-6395630</t>
  </si>
  <si>
    <t>Oral Health America</t>
  </si>
  <si>
    <t>36-2382334</t>
  </si>
  <si>
    <t>180 N. Michigan Ave</t>
  </si>
  <si>
    <t>Suite 1150</t>
  </si>
  <si>
    <t>E01 (Alliance/Advocacy Organizations)</t>
  </si>
  <si>
    <t>Morse Charitable Foundation Inc</t>
  </si>
  <si>
    <t>45-3630825</t>
  </si>
  <si>
    <t>Helens Hope Foundation</t>
  </si>
  <si>
    <t>54-2135918</t>
  </si>
  <si>
    <t>41w872 White Oak Ln</t>
  </si>
  <si>
    <t>Katherine Kenyon Lippitt Foundation Tr Uta 12152011</t>
  </si>
  <si>
    <t>61-6433804</t>
  </si>
  <si>
    <t>Hoban Family Charitable Foundation</t>
  </si>
  <si>
    <t>20-5256729</t>
  </si>
  <si>
    <t>222 W Adams 13th Flr</t>
  </si>
  <si>
    <t>Abrams Family Foundation</t>
  </si>
  <si>
    <t>27-1665086</t>
  </si>
  <si>
    <t>3710 State Route 133</t>
  </si>
  <si>
    <t>Williamsburg</t>
  </si>
  <si>
    <t>J Colin Campbell Scholarship Fund</t>
  </si>
  <si>
    <t>31-6204632</t>
  </si>
  <si>
    <t>3040 W Point Rd Se</t>
  </si>
  <si>
    <t>Harry and Harriet Bernbaum Family Charitable Foundation</t>
  </si>
  <si>
    <t>36-4187530</t>
  </si>
  <si>
    <t>222 N Lasalle Street</t>
  </si>
  <si>
    <t>Jim and Ginger Jurries Foundation</t>
  </si>
  <si>
    <t>37-1467586</t>
  </si>
  <si>
    <t>347 Settlers Rd Ste 120</t>
  </si>
  <si>
    <t>Kuehn Family Foundation Inc</t>
  </si>
  <si>
    <t>39-1944186</t>
  </si>
  <si>
    <t>1017 Park St</t>
  </si>
  <si>
    <t>Cross Plains</t>
  </si>
  <si>
    <t>Jim and Jane McElya Charitable Foundation 11152011</t>
  </si>
  <si>
    <t>45-6598085</t>
  </si>
  <si>
    <t>901 Wilshire Dr Ste 565</t>
  </si>
  <si>
    <t>Irene M Auberlin Foundation</t>
  </si>
  <si>
    <t>38-2815534</t>
  </si>
  <si>
    <t>11745 Rosa Parks Blvd</t>
  </si>
  <si>
    <t>Braude Foundation 1034412</t>
  </si>
  <si>
    <t>38-6664680</t>
  </si>
  <si>
    <t>Fort Recovery Ohio Community Foundation Inc</t>
  </si>
  <si>
    <t>31-1366316</t>
  </si>
  <si>
    <t>Po Box 52</t>
  </si>
  <si>
    <t>Fort Recovery</t>
  </si>
  <si>
    <t>Ira J Kaufman Family Foundation</t>
  </si>
  <si>
    <t>20-5522032</t>
  </si>
  <si>
    <t>1550 Forest Ave</t>
  </si>
  <si>
    <t>Chez Family Foundation</t>
  </si>
  <si>
    <t>26-4654718</t>
  </si>
  <si>
    <t>1524 N Astor St</t>
  </si>
  <si>
    <t>Sedge Plitt Charitable Tr Iii</t>
  </si>
  <si>
    <t>35-6739620</t>
  </si>
  <si>
    <t>1 S Wacker Dr Ste 800</t>
  </si>
  <si>
    <t>Bhargava Foundation</t>
  </si>
  <si>
    <t>38-3628004</t>
  </si>
  <si>
    <t>26275 Northpointe</t>
  </si>
  <si>
    <t>Farmingtn Hls</t>
  </si>
  <si>
    <t>Lynde and Harry Bradley Foundation, Inc.</t>
  </si>
  <si>
    <t>39-6037928</t>
  </si>
  <si>
    <t>1241 N Franklin Pl</t>
  </si>
  <si>
    <t>Dr. Scholl Foundation</t>
  </si>
  <si>
    <t>36-6068724</t>
  </si>
  <si>
    <t>1033 Skokie Blvd</t>
  </si>
  <si>
    <t>Ste 230</t>
  </si>
  <si>
    <t>Figgie Family Charitable Foundation Inc</t>
  </si>
  <si>
    <t>34-1945280</t>
  </si>
  <si>
    <t>30100 Chagrin Blvd Ste 380</t>
  </si>
  <si>
    <t>James R Ryan Family Foundation</t>
  </si>
  <si>
    <t>38-3495184</t>
  </si>
  <si>
    <t>13313 Kingswood Dr</t>
  </si>
  <si>
    <t>Delton</t>
  </si>
  <si>
    <t>The Pritzker Pucker Family Foundation</t>
  </si>
  <si>
    <t>30-0036022</t>
  </si>
  <si>
    <t>71 S Wacker Dr Ste 4700</t>
  </si>
  <si>
    <t>Frederich Wuetherich Family Memorial Endowed Scholarship Fund</t>
  </si>
  <si>
    <t>25-6858624</t>
  </si>
  <si>
    <t>Pritchett Foundation</t>
  </si>
  <si>
    <t>48-1210113</t>
  </si>
  <si>
    <t>Po Box 2980</t>
  </si>
  <si>
    <t>A L and Virginia Johnson Foundation Inc</t>
  </si>
  <si>
    <t>62-1755016</t>
  </si>
  <si>
    <t>Po Box 283</t>
  </si>
  <si>
    <t>Franklin</t>
  </si>
  <si>
    <t>SPECIAL LEISURE SERVICES FOUNDATION</t>
  </si>
  <si>
    <t>36-3145710</t>
  </si>
  <si>
    <t>3000 Central Rd Ste 205</t>
  </si>
  <si>
    <t>Rolling Mdws</t>
  </si>
  <si>
    <t>Pritzker Traubert Family Foundation</t>
  </si>
  <si>
    <t>36-4347781</t>
  </si>
  <si>
    <t>300 N La Salle Dr Ste 1500</t>
  </si>
  <si>
    <t>Henry V and Frances W Christenson Foundation</t>
  </si>
  <si>
    <t>42-1537453</t>
  </si>
  <si>
    <t>3800 Embassy Pkwy Ste 300</t>
  </si>
  <si>
    <t>N P Ketcham for Charities 20-102110280940</t>
  </si>
  <si>
    <t>34-6503210</t>
  </si>
  <si>
    <t>Po Box 10099</t>
  </si>
  <si>
    <t>Johnson Controls Foundation Inc</t>
  </si>
  <si>
    <t>20-3510307</t>
  </si>
  <si>
    <t>The Sartori Foundation Inc</t>
  </si>
  <si>
    <t>39-1933307</t>
  </si>
  <si>
    <t>Po Box 258</t>
  </si>
  <si>
    <t>Plymouth</t>
  </si>
  <si>
    <t>TROY FOUNDATION</t>
  </si>
  <si>
    <t>31-6018703</t>
  </si>
  <si>
    <t>216 West Main Street</t>
  </si>
  <si>
    <t>Altenheim Foundation Inc</t>
  </si>
  <si>
    <t>34-1647102</t>
  </si>
  <si>
    <t>18627 Shurmer Rd</t>
  </si>
  <si>
    <t>Strongsville</t>
  </si>
  <si>
    <t>Kalamazoo Community Foundation</t>
  </si>
  <si>
    <t>38-3333202</t>
  </si>
  <si>
    <t>402 East Michigan Ave.</t>
  </si>
  <si>
    <t>The Tobey Foundation</t>
  </si>
  <si>
    <t>36-3989019</t>
  </si>
  <si>
    <t>1227 Canterbury Ln</t>
  </si>
  <si>
    <t>Tricord Foundation</t>
  </si>
  <si>
    <t>36-4198123</t>
  </si>
  <si>
    <t>225 W Washington 28th Fl</t>
  </si>
  <si>
    <t>Rouse Family Foundation Inc</t>
  </si>
  <si>
    <t>20-8796783</t>
  </si>
  <si>
    <t>2201 Regency Road</t>
  </si>
  <si>
    <t>Nelson Family Foundation Inc</t>
  </si>
  <si>
    <t>39-1868979</t>
  </si>
  <si>
    <t>Po Box 365</t>
  </si>
  <si>
    <t>Prescott</t>
  </si>
  <si>
    <t>The Conneaut Foundation</t>
  </si>
  <si>
    <t>34-1752119</t>
  </si>
  <si>
    <t>235 Main St</t>
  </si>
  <si>
    <t>Conneaut</t>
  </si>
  <si>
    <t>Dorothy T &amp; Myron T Seifert Charitable Trust</t>
  </si>
  <si>
    <t>31-6535424</t>
  </si>
  <si>
    <t>ASM Materials Education Foundation</t>
  </si>
  <si>
    <t>34-6541397</t>
  </si>
  <si>
    <t>9639 Kinsman Rd</t>
  </si>
  <si>
    <t>Materials Park</t>
  </si>
  <si>
    <t>Stanard Family Foundation</t>
  </si>
  <si>
    <t>13-4316669</t>
  </si>
  <si>
    <t>600 Superior Avenue East</t>
  </si>
  <si>
    <t>The McCready Family Foundation</t>
  </si>
  <si>
    <t>34-1812977</t>
  </si>
  <si>
    <t>C/O 670 West Market Street</t>
  </si>
  <si>
    <t>Lori Schottenstein Foundation</t>
  </si>
  <si>
    <t>31-1533377</t>
  </si>
  <si>
    <t>4300 E 5th Ave</t>
  </si>
  <si>
    <t>Doris and Norma Van Gorp Foundation</t>
  </si>
  <si>
    <t>20-1285681</t>
  </si>
  <si>
    <t>74 E Long Lake Rd Ste 100</t>
  </si>
  <si>
    <t>PORTLAND FOUNDATION INC</t>
  </si>
  <si>
    <t>35-2019497</t>
  </si>
  <si>
    <t>112 E Main St</t>
  </si>
  <si>
    <t>Portland</t>
  </si>
  <si>
    <t>Dekalb County Community Foundation, Inc.</t>
  </si>
  <si>
    <t>35-1992897</t>
  </si>
  <si>
    <t>P.O. Box 111</t>
  </si>
  <si>
    <t>Auburn</t>
  </si>
  <si>
    <t>ROBERT W AND ELSIE B LYKINS CHARITABLE FOUNDATION</t>
  </si>
  <si>
    <t>61-1356911</t>
  </si>
  <si>
    <t>2401 Gray Fox Rd</t>
  </si>
  <si>
    <t>CARRELLA FBO CATHOLIC CHARITIES NY</t>
  </si>
  <si>
    <t>52-6975813</t>
  </si>
  <si>
    <t>TENGELSEN FAMILY FOUNDATION</t>
  </si>
  <si>
    <t>20-5950073</t>
  </si>
  <si>
    <t>1658 N Milwaukee Ave</t>
  </si>
  <si>
    <t>RICHLAND COUNTY FOUNDATION OF MANSFIELD</t>
  </si>
  <si>
    <t>34-0872883</t>
  </si>
  <si>
    <t>181 S Main St</t>
  </si>
  <si>
    <t>OWEN RANDALL RISSMAN FOUNDATION</t>
  </si>
  <si>
    <t>36-4266297</t>
  </si>
  <si>
    <t>500 W Madison St Ste 3700</t>
  </si>
  <si>
    <t>CHIPPEWA PARTNERS INC</t>
  </si>
  <si>
    <t>39-6089160</t>
  </si>
  <si>
    <t>1 N Bridge St</t>
  </si>
  <si>
    <t>Chippewa Fls</t>
  </si>
  <si>
    <t>Health Education and Relief</t>
  </si>
  <si>
    <t>20-4221874</t>
  </si>
  <si>
    <t>141 W. Jackson, Ste. 1404</t>
  </si>
  <si>
    <t>SATTER FOUNDATION</t>
  </si>
  <si>
    <t>13-3936468</t>
  </si>
  <si>
    <t>500 N Michigan Ave Ste 1700</t>
  </si>
  <si>
    <t>THE GUZIOR FAMILY FOUNDATION</t>
  </si>
  <si>
    <t>20-3152476</t>
  </si>
  <si>
    <t>7030 W 63rd St</t>
  </si>
  <si>
    <t>EVELYN G AND CHARLES L BURGOYNEFOUNDATION</t>
  </si>
  <si>
    <t>20-4810714</t>
  </si>
  <si>
    <t>HISCOX FOUNDATION USA</t>
  </si>
  <si>
    <t>20-8608776</t>
  </si>
  <si>
    <t>THOMAS H &amp; BARBARA W GALE FOUNDATION</t>
  </si>
  <si>
    <t>34-1813012</t>
  </si>
  <si>
    <t>1111 Superior Ave</t>
  </si>
  <si>
    <t>ANDREW FAMILY FOUNDATION</t>
  </si>
  <si>
    <t>36-3926511</t>
  </si>
  <si>
    <t>14628 John Humphrey Dr</t>
  </si>
  <si>
    <t>Orland Park</t>
  </si>
  <si>
    <t>TULLY FAMILY FOUNDATION</t>
  </si>
  <si>
    <t>36-4156972</t>
  </si>
  <si>
    <t>33 N Dearborn Street</t>
  </si>
  <si>
    <t>Petoskey - Harbor Springs Area Community Foundation</t>
  </si>
  <si>
    <t>38-3032185</t>
  </si>
  <si>
    <t>616 Petoskey St</t>
  </si>
  <si>
    <t>Suite 203</t>
  </si>
  <si>
    <t>Petoskey</t>
  </si>
  <si>
    <t>HENRY COUNTY COMMUNITY FOUNDATION INC</t>
  </si>
  <si>
    <t>31-1170412</t>
  </si>
  <si>
    <t>PO Box 6006</t>
  </si>
  <si>
    <t>700 S. Memorial Drive</t>
  </si>
  <si>
    <t>New Castle</t>
  </si>
  <si>
    <t>THE ARTHUR FOUNDATION</t>
  </si>
  <si>
    <t>36-4324067</t>
  </si>
  <si>
    <t>19 Riverside Rd</t>
  </si>
  <si>
    <t>Ste 6</t>
  </si>
  <si>
    <t>Riverside</t>
  </si>
  <si>
    <t>WEATHERLOW FOUNDATION</t>
  </si>
  <si>
    <t>27-4283491</t>
  </si>
  <si>
    <t>600 Superior Ave E Ste 1000</t>
  </si>
  <si>
    <t>THE ERIE COUNTY COMMUNITY FOUNDATION</t>
  </si>
  <si>
    <t>34-1792862</t>
  </si>
  <si>
    <t>135 E Washington Row</t>
  </si>
  <si>
    <t>Sandusky</t>
  </si>
  <si>
    <t>GREENE COUNTY FOUNDATION INC</t>
  </si>
  <si>
    <t>35-1815060</t>
  </si>
  <si>
    <t>4513 W State Road 54</t>
  </si>
  <si>
    <t>SCOTT FAMILY FOUNDATION</t>
  </si>
  <si>
    <t>36-7287571</t>
  </si>
  <si>
    <t>200 E Randolph</t>
  </si>
  <si>
    <t>JOSEPH KELLMAN FAMILY FOUNDATION</t>
  </si>
  <si>
    <t>36-7336206</t>
  </si>
  <si>
    <t>1512 S Pulaski Rd</t>
  </si>
  <si>
    <t>MARK AND MAUREEN MILLER FAMILY FOUNDATION</t>
  </si>
  <si>
    <t>26-1828406</t>
  </si>
  <si>
    <t>28161 N Keith Dr</t>
  </si>
  <si>
    <t>DEBORAH JOY SIMON FOUNDATION</t>
  </si>
  <si>
    <t>30-0125798</t>
  </si>
  <si>
    <t>950 Laurelwood</t>
  </si>
  <si>
    <t>PILGRIM MANOR FOUNDATION</t>
  </si>
  <si>
    <t>38-3410416</t>
  </si>
  <si>
    <t>2000 Leonard St Ne</t>
  </si>
  <si>
    <t>CLINGEN FOUNDATION LTD</t>
  </si>
  <si>
    <t>36-4200766</t>
  </si>
  <si>
    <t>5101 Darmstadt Rd</t>
  </si>
  <si>
    <t>Hillside</t>
  </si>
  <si>
    <t>THE KREILICK FAMILY FOUNDATION INC</t>
  </si>
  <si>
    <t>39-1979909</t>
  </si>
  <si>
    <t>155 N Harbor Dr Apt 1908</t>
  </si>
  <si>
    <t>GRANGER III FOUNDATION INC</t>
  </si>
  <si>
    <t>38-3555568</t>
  </si>
  <si>
    <t>Po Box 27185</t>
  </si>
  <si>
    <t>Lansing</t>
  </si>
  <si>
    <t>TIM AND LIBBY ASH FAMILY FOUNDATION INC</t>
  </si>
  <si>
    <t>27-1243709</t>
  </si>
  <si>
    <t>7609 W Jefferson Blvd</t>
  </si>
  <si>
    <t>GREENWOOD FOUNDATION</t>
  </si>
  <si>
    <t>38-1775875</t>
  </si>
  <si>
    <t>Po Box 190</t>
  </si>
  <si>
    <t>Wolverine</t>
  </si>
  <si>
    <t>BARAGA COUNTY COMMUNITY FOUNDATION</t>
  </si>
  <si>
    <t>38-3198122</t>
  </si>
  <si>
    <t>Po Box 338</t>
  </si>
  <si>
    <t>Lanse</t>
  </si>
  <si>
    <t>Greater Sauk County Community Foundation Inc</t>
  </si>
  <si>
    <t>39-1919240</t>
  </si>
  <si>
    <t>PO Box 544</t>
  </si>
  <si>
    <t>Baraboo</t>
  </si>
  <si>
    <t>The Community Foundation of Delaware County</t>
  </si>
  <si>
    <t>31-1450786</t>
  </si>
  <si>
    <t>3954 North Hampton Drive</t>
  </si>
  <si>
    <t>Powell</t>
  </si>
  <si>
    <t>Greater Milwaukee Foundation, Inc.</t>
  </si>
  <si>
    <t>39-6036407</t>
  </si>
  <si>
    <t>101 W Pleasant St Ste 210</t>
  </si>
  <si>
    <t>Community Foundation Alliance, Inc.</t>
  </si>
  <si>
    <t>35-1830262</t>
  </si>
  <si>
    <t>123 NW Fourth St</t>
  </si>
  <si>
    <t>Ste 322</t>
  </si>
  <si>
    <t>GEORGE AND DEBORAH MEHL FAMILY FOUNDATION INC</t>
  </si>
  <si>
    <t>31-1679603</t>
  </si>
  <si>
    <t>IDP FOUNDATION INC</t>
  </si>
  <si>
    <t>26-2753703</t>
  </si>
  <si>
    <t>321 N Clark St Ste 2350</t>
  </si>
  <si>
    <t>MILLS FAM CHARITABLE TR</t>
  </si>
  <si>
    <t>30-6000363</t>
  </si>
  <si>
    <t>1600 Eastwood Ave</t>
  </si>
  <si>
    <t>LACHIMI FOUNDATION</t>
  </si>
  <si>
    <t>38-3429963</t>
  </si>
  <si>
    <t>3270 W Big Beaver Road</t>
  </si>
  <si>
    <t>RICHARD AND HELEN DEVOS FOUNDATION</t>
  </si>
  <si>
    <t>45-6659303</t>
  </si>
  <si>
    <t>COGHILL FAMILY FOUNDATION</t>
  </si>
  <si>
    <t>61-1434101</t>
  </si>
  <si>
    <t>233 S Wacker Dr Ste 3960</t>
  </si>
  <si>
    <t>THE WILLIAM M MCGLAUGHLIN FOUNDATION</t>
  </si>
  <si>
    <t>31-1578264</t>
  </si>
  <si>
    <t>5556 Cheviot Rd Ste B</t>
  </si>
  <si>
    <t>E-B FOUNDATION</t>
  </si>
  <si>
    <t>38-3577561</t>
  </si>
  <si>
    <t>GURTZ FAMILY FOUNDATION</t>
  </si>
  <si>
    <t>26-0173765</t>
  </si>
  <si>
    <t>2140 Hybernia Dr</t>
  </si>
  <si>
    <t>NEIL AND MARIE GENSHAFT FOUNDATION</t>
  </si>
  <si>
    <t>45-4942674</t>
  </si>
  <si>
    <t>1888 Southway St Se</t>
  </si>
  <si>
    <t>Massillon</t>
  </si>
  <si>
    <t>SHIRLEY AND BILL KOLOSEIKE FOUNDATION</t>
  </si>
  <si>
    <t>26-0752500</t>
  </si>
  <si>
    <t>Bill Kay Chevrolet</t>
  </si>
  <si>
    <t>Lisle</t>
  </si>
  <si>
    <t>THE VIRGINIA W KETTERING FOUNDATION</t>
  </si>
  <si>
    <t>31-6570701</t>
  </si>
  <si>
    <t>NAOMI B CHAMBERS CHARITABLE TR</t>
  </si>
  <si>
    <t>37-6410705</t>
  </si>
  <si>
    <t>GLADSTONE SCHOLARSHIP &amp; STUDENT LOAN FOUNDATION</t>
  </si>
  <si>
    <t>38-6277480</t>
  </si>
  <si>
    <t>Po Box 135</t>
  </si>
  <si>
    <t>Gladstone</t>
  </si>
  <si>
    <t>CRESSY FOUNDATION INC</t>
  </si>
  <si>
    <t>35-1994475</t>
  </si>
  <si>
    <t>Po Box 837</t>
  </si>
  <si>
    <t>A OREN MERKLE AND RUTH C MERKLE FOUNDATION</t>
  </si>
  <si>
    <t>45-6547402</t>
  </si>
  <si>
    <t>VATTIKUTI FOUNDATION</t>
  </si>
  <si>
    <t>38-3380162</t>
  </si>
  <si>
    <t>1000 Town Ctr Ste 700</t>
  </si>
  <si>
    <t>SHUPE FAMILY FOUNDATION</t>
  </si>
  <si>
    <t>26-3615062</t>
  </si>
  <si>
    <t>443 S Vine St</t>
  </si>
  <si>
    <t>THE J FERRANTINO CHARITABLE FOUNDATION</t>
  </si>
  <si>
    <t>26-4457061</t>
  </si>
  <si>
    <t>126 S Main St</t>
  </si>
  <si>
    <t>GEORGE H MARGUERITE C LUTHE EDUCATION TRUST</t>
  </si>
  <si>
    <t>46-1085180</t>
  </si>
  <si>
    <t>10 W Elm St</t>
  </si>
  <si>
    <t>Albion</t>
  </si>
  <si>
    <t>CARSON FAMILY FOUNDATION</t>
  </si>
  <si>
    <t>36-4478861</t>
  </si>
  <si>
    <t>21078 W Long Grove Rd</t>
  </si>
  <si>
    <t>Kildeer</t>
  </si>
  <si>
    <t>LEFKOFSKY FAMILY FOUNDATION</t>
  </si>
  <si>
    <t>20-7066362</t>
  </si>
  <si>
    <t>600 West Chicago Ave. Suite 775</t>
  </si>
  <si>
    <t>THE JOHN C &amp; CAROLYN NOONAN PARMER PRIVATE FOUNDATION</t>
  </si>
  <si>
    <t>36-4153563</t>
  </si>
  <si>
    <t>9 Woodley Rd</t>
  </si>
  <si>
    <t>RUSSELL R DOHNER FOUNDATION</t>
  </si>
  <si>
    <t>20-4562531</t>
  </si>
  <si>
    <t>Po Box 50</t>
  </si>
  <si>
    <t>Rushville</t>
  </si>
  <si>
    <t>WILLIAM M DAVIDSON STOCK GRAT DTD 1-2-09</t>
  </si>
  <si>
    <t>26-6736939</t>
  </si>
  <si>
    <t>2 Towne Sq Ste 905</t>
  </si>
  <si>
    <t>GIVING HOPE WORLDWIDE FOUNDATION</t>
  </si>
  <si>
    <t>27-4201354</t>
  </si>
  <si>
    <t>6200 Riverside Dr</t>
  </si>
  <si>
    <t>MAKO FOUNDATION</t>
  </si>
  <si>
    <t>30-0286945</t>
  </si>
  <si>
    <t>ICF FOUNDATION</t>
  </si>
  <si>
    <t>34-1826821</t>
  </si>
  <si>
    <t>9 Aurora St Ste 2</t>
  </si>
  <si>
    <t>BOSCH COMMUNITY FUND</t>
  </si>
  <si>
    <t>45-4020765</t>
  </si>
  <si>
    <t>3800 Hills Tech Dr</t>
  </si>
  <si>
    <t>Farmington Hills</t>
  </si>
  <si>
    <t>KAREN K ST JOHN CHARITABLE EDUCATION TRUST</t>
  </si>
  <si>
    <t>45-6691848</t>
  </si>
  <si>
    <t>3913 W Prospect Ave Ste 201</t>
  </si>
  <si>
    <t>KAKATU INC</t>
  </si>
  <si>
    <t>35-2064839</t>
  </si>
  <si>
    <t>400 S Walnut St 200</t>
  </si>
  <si>
    <t>Muncie</t>
  </si>
  <si>
    <t>ROCHELLE AREA COMMUNITY FOUNDATION</t>
  </si>
  <si>
    <t>20-3879466</t>
  </si>
  <si>
    <t>Po Box 74</t>
  </si>
  <si>
    <t>Rochelle</t>
  </si>
  <si>
    <t>Greater Lafayette Community Foundation</t>
  </si>
  <si>
    <t>23-7147996</t>
  </si>
  <si>
    <t>1114 East State Street</t>
  </si>
  <si>
    <t>Community Foundation of St. Clair County</t>
  </si>
  <si>
    <t>38-1872132</t>
  </si>
  <si>
    <t>516 McMorran Blvd</t>
  </si>
  <si>
    <t>Port Huron</t>
  </si>
  <si>
    <t>THE FRANKENMUTH COMMUNITY FOUNDATION INC</t>
  </si>
  <si>
    <t>38-2140032</t>
  </si>
  <si>
    <t>Po Box 386</t>
  </si>
  <si>
    <t>Frankenmuth</t>
  </si>
  <si>
    <t>MT PLEASANT AREA COMMUNITY FOUNDATION INC</t>
  </si>
  <si>
    <t>38-2951873</t>
  </si>
  <si>
    <t>P. O. Box 1283</t>
  </si>
  <si>
    <t>Mt. Pleasant</t>
  </si>
  <si>
    <t>KEVIN COLEMAN FOUNDATION INC</t>
  </si>
  <si>
    <t>34-1578261</t>
  </si>
  <si>
    <t>5982 Rhodes Rd</t>
  </si>
  <si>
    <t>Kent</t>
  </si>
  <si>
    <t>NATHAN &amp; FANNYE SHAFRAN FOUNDATION</t>
  </si>
  <si>
    <t>34-1458950</t>
  </si>
  <si>
    <t>25701 Science Park Dr</t>
  </si>
  <si>
    <t>ROBERT CARLETON FUND 10001776</t>
  </si>
  <si>
    <t>13-6833622</t>
  </si>
  <si>
    <t>DAVID E SIMON &amp; JACQUELINE S SIMON CHARITABLE FOUNDATION</t>
  </si>
  <si>
    <t>14-1859319</t>
  </si>
  <si>
    <t>10555 Hussey Ln</t>
  </si>
  <si>
    <t>FLORA ETHEL MADDUX TRUST 819</t>
  </si>
  <si>
    <t>37-6189508</t>
  </si>
  <si>
    <t>891 Fairfax St</t>
  </si>
  <si>
    <t>Carlyle</t>
  </si>
  <si>
    <t>RUSS &amp; SHIRLEY VAN GILDER FAMILY FOUNDATION</t>
  </si>
  <si>
    <t>26-4128909</t>
  </si>
  <si>
    <t>1065 Grant St</t>
  </si>
  <si>
    <t>Fenton</t>
  </si>
  <si>
    <t>TRACY E ANDERSON CHARITABLE FOUNDATION</t>
  </si>
  <si>
    <t>36-4332916</t>
  </si>
  <si>
    <t>330 Spring Creek Rd</t>
  </si>
  <si>
    <t>JEFFREY R ANDERSON CHARITABLE FOUNDATION</t>
  </si>
  <si>
    <t>36-4332915</t>
  </si>
  <si>
    <t>MARY G BROOKE TR</t>
  </si>
  <si>
    <t>31-6492634</t>
  </si>
  <si>
    <t>Po Box 59</t>
  </si>
  <si>
    <t>Lebanon</t>
  </si>
  <si>
    <t>HULMAN &amp; COMPANY FOUNDATION INC</t>
  </si>
  <si>
    <t>35-2063427</t>
  </si>
  <si>
    <t>Po Box 150</t>
  </si>
  <si>
    <t>J LOGAN GOVER FAMILY SCHOLARSHIP FUND</t>
  </si>
  <si>
    <t>26-1828225</t>
  </si>
  <si>
    <t>1515 Charleston Ave</t>
  </si>
  <si>
    <t>DAVID J ANDERSON CHARITABLE FOUNDATION</t>
  </si>
  <si>
    <t>36-4332919</t>
  </si>
  <si>
    <t>DOUGLAS &amp; JANET BREWS FOUNDATION</t>
  </si>
  <si>
    <t>34-6508419</t>
  </si>
  <si>
    <t>CARFAGNA FAMILY FOUNDATION</t>
  </si>
  <si>
    <t>34-1940734</t>
  </si>
  <si>
    <t>50 Public Sq Ste 1703</t>
  </si>
  <si>
    <t>MARY AND DR GEORGE L DEMETROS CHARITABLE TRUST</t>
  </si>
  <si>
    <t>35-2168489</t>
  </si>
  <si>
    <t>106 S Main St Ste 500</t>
  </si>
  <si>
    <t>CHARLES AND DORIS MCGLOTHLIN CHARITABLE TR</t>
  </si>
  <si>
    <t>27-6314125</t>
  </si>
  <si>
    <t>Po Box 207</t>
  </si>
  <si>
    <t>JANE SMITH TURNER FOUNDATION INC</t>
  </si>
  <si>
    <t>38-3199326</t>
  </si>
  <si>
    <t>500 Woodward Ave Ste 2500</t>
  </si>
  <si>
    <t>HAWLEY FUND</t>
  </si>
  <si>
    <t>30-6096829</t>
  </si>
  <si>
    <t>MULTHAUF FONDATION LTD</t>
  </si>
  <si>
    <t>04-3796687</t>
  </si>
  <si>
    <t>S8981 Stonebrook Dr</t>
  </si>
  <si>
    <t>Eleva</t>
  </si>
  <si>
    <t>FOGELSON FOUNDATION</t>
  </si>
  <si>
    <t>20-2902485</t>
  </si>
  <si>
    <t>1455 S Michigan Ave</t>
  </si>
  <si>
    <t>GEORGE AND MARGARET MCLANE FOUNDATION</t>
  </si>
  <si>
    <t>20-7373591</t>
  </si>
  <si>
    <t>30 E Central Pkwy Apt 1202</t>
  </si>
  <si>
    <t>THE ROBERT AND HELEN HADDAD FOUNDATION INC</t>
  </si>
  <si>
    <t>30-0127786</t>
  </si>
  <si>
    <t>3460 Commerce Dr</t>
  </si>
  <si>
    <t>KNIGHT-BALDWIN CHARITABLE FUND INC</t>
  </si>
  <si>
    <t>31-1526677</t>
  </si>
  <si>
    <t>Po Box 36</t>
  </si>
  <si>
    <t>Clyde</t>
  </si>
  <si>
    <t>GOOD SAMARITAN HOSPITAL FOUNDATION INC</t>
  </si>
  <si>
    <t>35-1637684</t>
  </si>
  <si>
    <t>520 S 7th St</t>
  </si>
  <si>
    <t>Vincennes</t>
  </si>
  <si>
    <t>SALIN FOUNDATION INC</t>
  </si>
  <si>
    <t>35-2047694</t>
  </si>
  <si>
    <t>10587 Coppergate</t>
  </si>
  <si>
    <t>LEONA HIGGINBOTHAM CHARITABLE TR</t>
  </si>
  <si>
    <t>35-6575785</t>
  </si>
  <si>
    <t>HEISER SCHOLARSHIP TR</t>
  </si>
  <si>
    <t>35-6794889</t>
  </si>
  <si>
    <t>Po Box 1602</t>
  </si>
  <si>
    <t>WADSWORTH GOLF CHARITIES FOUNDATION</t>
  </si>
  <si>
    <t>36-4028075</t>
  </si>
  <si>
    <t>13941 N Vandyke Rd</t>
  </si>
  <si>
    <t>Plainfield</t>
  </si>
  <si>
    <t>MAJERUS FAMILY FOUNDATION INC</t>
  </si>
  <si>
    <t>46-2384558</t>
  </si>
  <si>
    <t>6421 Betsy Ross Pl</t>
  </si>
  <si>
    <t>Wauwatosa</t>
  </si>
  <si>
    <t>ISADORE E DELAPPE 1972 TRUST</t>
  </si>
  <si>
    <t>48-6172974</t>
  </si>
  <si>
    <t>111 W Montoe St Tax Div 10c</t>
  </si>
  <si>
    <t>DECYK CHARITABLE FOUNDATION</t>
  </si>
  <si>
    <t>46-3045238</t>
  </si>
  <si>
    <t>1540 N Lake Shore Dr Ste 16-S</t>
  </si>
  <si>
    <t>LINDA NEVILLE TR UW</t>
  </si>
  <si>
    <t>61-6018696</t>
  </si>
  <si>
    <t>PAPPAS FOUNDATION INC</t>
  </si>
  <si>
    <t>38-3386198</t>
  </si>
  <si>
    <t>30301 Northwestern Hwy Ste 200</t>
  </si>
  <si>
    <t>WAHLIN FOUNDATION INC</t>
  </si>
  <si>
    <t>39-1948530</t>
  </si>
  <si>
    <t>Po Box 328</t>
  </si>
  <si>
    <t>Stoughton</t>
  </si>
  <si>
    <t>RICHARD W AND IRENE ROOKER FAMILY FOUNDATION</t>
  </si>
  <si>
    <t>26-6443697</t>
  </si>
  <si>
    <t>2228 S Stonebridge Rd</t>
  </si>
  <si>
    <t>Warsaw</t>
  </si>
  <si>
    <t>IRMADELL MCNAY MEMORIAL TRUST</t>
  </si>
  <si>
    <t>61-6220295</t>
  </si>
  <si>
    <t>3805 Edwards Rd Rookwood Tower</t>
  </si>
  <si>
    <t>IBB COCKAYNE FUND INC</t>
  </si>
  <si>
    <t>45-2809797</t>
  </si>
  <si>
    <t>4969 Us Highway 42 Ste 2000</t>
  </si>
  <si>
    <t>DONALD L CHARLTON EDUCATIONAL CRUT</t>
  </si>
  <si>
    <t>35-6759995</t>
  </si>
  <si>
    <t>CLARE M PETERS CHARITABLE TRUST</t>
  </si>
  <si>
    <t>39-7356130</t>
  </si>
  <si>
    <t>777 E Wisconsin Ave Ste 3500</t>
  </si>
  <si>
    <t>THE ARMSTRONG FAMILY FOUNDATION</t>
  </si>
  <si>
    <t>30-0212798</t>
  </si>
  <si>
    <t>1660 Alvin Ln</t>
  </si>
  <si>
    <t>LAURETTA K PETERS AND RICHARD R PETERS CHARITABLE FOUNDATION</t>
  </si>
  <si>
    <t>27-1106297</t>
  </si>
  <si>
    <t>1375 E 9th St Ste 1700</t>
  </si>
  <si>
    <t>SANKEY FAMILY FOUNDATION</t>
  </si>
  <si>
    <t>34-1909797</t>
  </si>
  <si>
    <t>4040 Embassy Pkwy Ste 100</t>
  </si>
  <si>
    <t>DELMAR AND AUDRIA M OLSON FAMILY FOUNDATION</t>
  </si>
  <si>
    <t>36-7253495</t>
  </si>
  <si>
    <t>CSP FAMILY FOUNDATION</t>
  </si>
  <si>
    <t>20-1379399</t>
  </si>
  <si>
    <t>SHERMAN WHITE JR AND VIRGINIA H WHITE CHARITABLE FUND</t>
  </si>
  <si>
    <t>20-3970395</t>
  </si>
  <si>
    <t>BRINLEY &amp; MARIAN LEWIS CHARITABLE TR</t>
  </si>
  <si>
    <t>26-6772431</t>
  </si>
  <si>
    <t>Po Box 1558 Dept Ea4e86</t>
  </si>
  <si>
    <t>MERCER COUNTY CIVIC FOUNDATION</t>
  </si>
  <si>
    <t>34-6539139</t>
  </si>
  <si>
    <t>Po Box 439</t>
  </si>
  <si>
    <t>Celina</t>
  </si>
  <si>
    <t>MARY MARGARET STUCKY TEST TR</t>
  </si>
  <si>
    <t>20-6300140</t>
  </si>
  <si>
    <t>434 W Wayne St</t>
  </si>
  <si>
    <t>RALPH AND EVELYN DAVIS FAMILY FOUNDATION</t>
  </si>
  <si>
    <t>26-3311361</t>
  </si>
  <si>
    <t>COHEN FAMILY FOUNDATION INC</t>
  </si>
  <si>
    <t>35-2003440</t>
  </si>
  <si>
    <t>10360 Charter Oaks</t>
  </si>
  <si>
    <t>CHRISTOPHER L &amp; M SUSAN GUST FOUNDATION</t>
  </si>
  <si>
    <t>61-1405669</t>
  </si>
  <si>
    <t>1871 N Burling St</t>
  </si>
  <si>
    <t>HUGH &amp; CONSTANCE MEHAFFIE FAMILY FOUNDATION</t>
  </si>
  <si>
    <t>11-3775657</t>
  </si>
  <si>
    <t>1451 Prospect Hl</t>
  </si>
  <si>
    <t>INGRAM FAMILY CHARITABLE TR</t>
  </si>
  <si>
    <t>20-1178042</t>
  </si>
  <si>
    <t>111 W Monore St Tax Div 16w</t>
  </si>
  <si>
    <t>JOHN G &amp; PHYLLIS W SMALE FAMILY FOUNDATION 010004275608</t>
  </si>
  <si>
    <t>20-1971145</t>
  </si>
  <si>
    <t>BERNARD &amp; PAULINE HERBERT SCHOLARSHIP TRUST 0400221700</t>
  </si>
  <si>
    <t>20-6945564</t>
  </si>
  <si>
    <t>10 S Dearborn Ste 21st</t>
  </si>
  <si>
    <t>MOLENDORP FAMILY FOUNDATION INC</t>
  </si>
  <si>
    <t>26-0838556</t>
  </si>
  <si>
    <t>6507 Castle Knoll Ct</t>
  </si>
  <si>
    <t>ROBERTS FAMILY FOUNDATION INC</t>
  </si>
  <si>
    <t>27-1529236</t>
  </si>
  <si>
    <t>90 E Cedar St</t>
  </si>
  <si>
    <t>Zionsville</t>
  </si>
  <si>
    <t>OLIVE I AND EUNICE J TOUSSAINT FOUNDATION INC</t>
  </si>
  <si>
    <t>27-3459246</t>
  </si>
  <si>
    <t>8741 W National Ave</t>
  </si>
  <si>
    <t>West Allis</t>
  </si>
  <si>
    <t>WILLIAM AND MILDRED JEAN KURZ CHARITABLE TR</t>
  </si>
  <si>
    <t>27-6687439</t>
  </si>
  <si>
    <t>7904 Bent Pine Ct</t>
  </si>
  <si>
    <t>Prospect</t>
  </si>
  <si>
    <t>AMERISURE CHARITABLE FOUNDATION INC</t>
  </si>
  <si>
    <t>30-0289445</t>
  </si>
  <si>
    <t>26777 Halsted Rd</t>
  </si>
  <si>
    <t>DONALD HAGAR RESIDUARY CHARITABLE TRUST</t>
  </si>
  <si>
    <t>31-6206958</t>
  </si>
  <si>
    <t>ODONNELL L K FAM CHARITABLE TR 20-102140471365</t>
  </si>
  <si>
    <t>34-7180756</t>
  </si>
  <si>
    <t>WAGNER FAMILY FOUNDATION</t>
  </si>
  <si>
    <t>36-4145039</t>
  </si>
  <si>
    <t>600 Central Ave Ste 365</t>
  </si>
  <si>
    <t>MCKEE FAMILY FOUNDATION</t>
  </si>
  <si>
    <t>36-4329457</t>
  </si>
  <si>
    <t>53 W Jackson Blvd Ste 1218</t>
  </si>
  <si>
    <t>HOEHN FAMILY CHARITABLE TR</t>
  </si>
  <si>
    <t>36-4235135</t>
  </si>
  <si>
    <t>50 S Lasalle Ste B-3</t>
  </si>
  <si>
    <t>POND FAMILY FOUNDATION</t>
  </si>
  <si>
    <t>36-7238359</t>
  </si>
  <si>
    <t>2920 N Commonwealth</t>
  </si>
  <si>
    <t>NAYAK FOUNDATION CHARITABLE TR</t>
  </si>
  <si>
    <t>37-1378892</t>
  </si>
  <si>
    <t>1906 Crimson Ln</t>
  </si>
  <si>
    <t>KONRAD &amp; MARY JO TESTWUIDE FOUNDATION INC</t>
  </si>
  <si>
    <t>39-1915639</t>
  </si>
  <si>
    <t>Po Box 28</t>
  </si>
  <si>
    <t>Sheboygan</t>
  </si>
  <si>
    <t>CHARLES M CUTTS CHARITABLE TRUST 9371165800</t>
  </si>
  <si>
    <t>55-6102046</t>
  </si>
  <si>
    <t>BRERETON AND ELIZABETH JONES CHARITABLE FAMILY FOUNDATION</t>
  </si>
  <si>
    <t>61-1358458</t>
  </si>
  <si>
    <t>Po Box 487</t>
  </si>
  <si>
    <t>Midway</t>
  </si>
  <si>
    <t>AHRENS FAM FOUNDATION TR</t>
  </si>
  <si>
    <t>61-6265649</t>
  </si>
  <si>
    <t>21 Autumn Hill</t>
  </si>
  <si>
    <t>HELLIWELL FAMILY FOUNDATION INC</t>
  </si>
  <si>
    <t>65-0880258</t>
  </si>
  <si>
    <t>ADELINE &amp; GEORGE MCQUEEN FOUNDATION OF 1960 8336174700</t>
  </si>
  <si>
    <t>75-6014459</t>
  </si>
  <si>
    <t>DEGROOT FAMILY FOUNDATION</t>
  </si>
  <si>
    <t>06-1654753</t>
  </si>
  <si>
    <t>Po Box 660</t>
  </si>
  <si>
    <t>Watervliet</t>
  </si>
  <si>
    <t>BON EAU FOUNDATION</t>
  </si>
  <si>
    <t>20-0483951</t>
  </si>
  <si>
    <t>322 State St</t>
  </si>
  <si>
    <t>Alton</t>
  </si>
  <si>
    <t>T K ZAMPETIS FAMILY FOUNDATION</t>
  </si>
  <si>
    <t>20-2057665</t>
  </si>
  <si>
    <t>4829 W Wickford</t>
  </si>
  <si>
    <t>WESTFIELD INSURANCE FOUNDATION</t>
  </si>
  <si>
    <t>20-3816760</t>
  </si>
  <si>
    <t>Po Box 5001</t>
  </si>
  <si>
    <t>Westfield Ctr</t>
  </si>
  <si>
    <t>POWELL FOUNDATION</t>
  </si>
  <si>
    <t>20-4747466</t>
  </si>
  <si>
    <t>6843 N Knox Ave</t>
  </si>
  <si>
    <t>Lincolnwood</t>
  </si>
  <si>
    <t>M L PARRISH FAMILY FOUNDATION INC</t>
  </si>
  <si>
    <t>20-8076892</t>
  </si>
  <si>
    <t>101 N Main St 2nd Fl</t>
  </si>
  <si>
    <t>Versailles</t>
  </si>
  <si>
    <t>WEINBERG-NEWTON FAMILY FOUNDATION</t>
  </si>
  <si>
    <t>26-4407166</t>
  </si>
  <si>
    <t>2135 N Cleveland Ave</t>
  </si>
  <si>
    <t>YOUNG FAMILY FOUNDATION</t>
  </si>
  <si>
    <t>30-0003762</t>
  </si>
  <si>
    <t>Po Box 5430</t>
  </si>
  <si>
    <t>PHILLIPS FAMILY FOUNDATION</t>
  </si>
  <si>
    <t>31-1544453</t>
  </si>
  <si>
    <t>715 Bakewell St</t>
  </si>
  <si>
    <t>FRECHETTE FAMILY FOUNDATION</t>
  </si>
  <si>
    <t>31-1530248</t>
  </si>
  <si>
    <t>MARY BUTLER LONGEST FOUNDATION</t>
  </si>
  <si>
    <t>32-0157651</t>
  </si>
  <si>
    <t>Po Box 3429</t>
  </si>
  <si>
    <t>MARIETT L HUNTINGTON RESIDUE FUND</t>
  </si>
  <si>
    <t>34-6500660</t>
  </si>
  <si>
    <t>4900 Tiedeman Rd Mailcode Oh 01 49</t>
  </si>
  <si>
    <t>ETHELAND ALLYN KENDIS FAMILY CHARITABLE TR</t>
  </si>
  <si>
    <t>34-7124554</t>
  </si>
  <si>
    <t>614 Superior Ave Nw Ste 1500</t>
  </si>
  <si>
    <t>HOOSIER STATE PRESS ASSOCIATION FOUNDATION INC</t>
  </si>
  <si>
    <t>35-2092000</t>
  </si>
  <si>
    <t>41 E Washington St Ste 301</t>
  </si>
  <si>
    <t>ALEHSAN FOUNDATION INC</t>
  </si>
  <si>
    <t>35-2089667</t>
  </si>
  <si>
    <t>199 Amhurst Pl</t>
  </si>
  <si>
    <t>Valparaiso</t>
  </si>
  <si>
    <t>FABIANO FOUNDATION</t>
  </si>
  <si>
    <t>38-3324462</t>
  </si>
  <si>
    <t>1885 Bevanda Ct</t>
  </si>
  <si>
    <t>LUNDSTROM FAMILY FOUNDATION</t>
  </si>
  <si>
    <t>38-3368451</t>
  </si>
  <si>
    <t>2883 Schaffen St</t>
  </si>
  <si>
    <t>MOLINELLO FAMILY FOUNDATION</t>
  </si>
  <si>
    <t>38-3494266</t>
  </si>
  <si>
    <t>Po Box 721067</t>
  </si>
  <si>
    <t>Berkley</t>
  </si>
  <si>
    <t>WCA CHARITABLE FOUNDATION TR</t>
  </si>
  <si>
    <t>61-1328465</t>
  </si>
  <si>
    <t>2100 Gardiner Ln Ste 207</t>
  </si>
  <si>
    <t>PUBLIC LIFE FOUNDATION OF OWENSBORO INC</t>
  </si>
  <si>
    <t>61-6232654</t>
  </si>
  <si>
    <t>401 Frederica Street Bldg B 203</t>
  </si>
  <si>
    <t>Owensboro</t>
  </si>
  <si>
    <t>WILLIAM E &amp; CLARISSA FERN SINGER FOUNDATION</t>
  </si>
  <si>
    <t>83-6052554</t>
  </si>
  <si>
    <t>RONDA E STRYKER &amp; WILLIAM D JOHNSTON FOUNDATION</t>
  </si>
  <si>
    <t>38-3224966</t>
  </si>
  <si>
    <t>211 S Rose St</t>
  </si>
  <si>
    <t>ASSUMPTION FOUNDATION FOR K-12 SCHOOLS</t>
  </si>
  <si>
    <t>23-7311256</t>
  </si>
  <si>
    <t>FAYETTE COUNTY FOUNDATION INC</t>
  </si>
  <si>
    <t>35-2232770</t>
  </si>
  <si>
    <t>Po Box 844</t>
  </si>
  <si>
    <t>Connersville</t>
  </si>
  <si>
    <t>COMMUNITY FOUNDATION OF NORTH CENTRAL WISCONSIN INC</t>
  </si>
  <si>
    <t>39-1577472</t>
  </si>
  <si>
    <t>500 First St Ste 2600</t>
  </si>
  <si>
    <t>Wausau</t>
  </si>
  <si>
    <t xml:space="preserve">BREWERS COMMUNITY FOUNDATION                                          </t>
  </si>
  <si>
    <t>39-1970152</t>
  </si>
  <si>
    <t>Miller Park</t>
  </si>
  <si>
    <t>One Brewers Way</t>
  </si>
  <si>
    <t>HAL AND JOHN SMITH FAM FOUNDATION INC</t>
  </si>
  <si>
    <t>20-5912128</t>
  </si>
  <si>
    <t>GRANT W BRISSMAN &amp; VIRGINIA M BRISSMAN FOUNDATION NFP</t>
  </si>
  <si>
    <t>27-3600590</t>
  </si>
  <si>
    <t>2009 10th Ave E</t>
  </si>
  <si>
    <t>Milan</t>
  </si>
  <si>
    <t>PATRICE K AARON FAMILY FOUNDATION</t>
  </si>
  <si>
    <t>30-0001664</t>
  </si>
  <si>
    <t>2800 Stein Ct</t>
  </si>
  <si>
    <t>LOGOS CHARITABLE FUND INC</t>
  </si>
  <si>
    <t>36-3994192</t>
  </si>
  <si>
    <t>200 W Monroe St Ste 1440</t>
  </si>
  <si>
    <t>SEGAL FAMILY FOUNDATION II</t>
  </si>
  <si>
    <t>36-4330990</t>
  </si>
  <si>
    <t>1474 Techny Rd</t>
  </si>
  <si>
    <t>LOUIS MARTIN FAMILY CHARITABLE TRUST</t>
  </si>
  <si>
    <t>36-6837932</t>
  </si>
  <si>
    <t>230 W State St Msc M-300</t>
  </si>
  <si>
    <t>FRANK H PHILBRICK FOUNDATION</t>
  </si>
  <si>
    <t>36-7590463</t>
  </si>
  <si>
    <t>JOHN ADAM SCHAAD &amp; MILDRED E SCHAAD TRUST</t>
  </si>
  <si>
    <t>37-6330955</t>
  </si>
  <si>
    <t>Po Box 200</t>
  </si>
  <si>
    <t>Havana</t>
  </si>
  <si>
    <t>PAUL FARAGO FOUNDATION TRUST</t>
  </si>
  <si>
    <t>38-3378111</t>
  </si>
  <si>
    <t>3508 Erie Dr</t>
  </si>
  <si>
    <t>DENSO NORTH AMERICA FOUNDATION</t>
  </si>
  <si>
    <t>38-3547055</t>
  </si>
  <si>
    <t>24777 Denso Dr</t>
  </si>
  <si>
    <t>TRAPP FAMILY FOUNDATION INC</t>
  </si>
  <si>
    <t>38-3558679</t>
  </si>
  <si>
    <t>3272 Erie Dr</t>
  </si>
  <si>
    <t>W L LYONS BROWN JR FUND INC</t>
  </si>
  <si>
    <t>45-2961778</t>
  </si>
  <si>
    <t>500 W Jefferson St Ste 2800</t>
  </si>
  <si>
    <t>SANDCASTLE FOUNDATION</t>
  </si>
  <si>
    <t>46-0911329</t>
  </si>
  <si>
    <t>1908 W Larchmont Ave</t>
  </si>
  <si>
    <t>FLIESBACH FAMILY FOUNDATION</t>
  </si>
  <si>
    <t>47-0814355</t>
  </si>
  <si>
    <t>PARK SCHOOL CHARITABLE TRUST IN MEMORY OF IDA &amp; ISAAC STRAUSS</t>
  </si>
  <si>
    <t>65-6372447</t>
  </si>
  <si>
    <t>FOUR LEAF CLOVER FOUNDATION UA 12192012</t>
  </si>
  <si>
    <t>37-6535092</t>
  </si>
  <si>
    <t>189 American Grain St</t>
  </si>
  <si>
    <t>Cahokia</t>
  </si>
  <si>
    <t>CAMPBELL FUND</t>
  </si>
  <si>
    <t>38-3334874</t>
  </si>
  <si>
    <t>427 N Main St</t>
  </si>
  <si>
    <t>WITZ-MALLINGER CHARITABLE FOUNDATION 0400191300</t>
  </si>
  <si>
    <t>20-6412740</t>
  </si>
  <si>
    <t>LEWIS &amp; DOROTHY TAMPLIN TR</t>
  </si>
  <si>
    <t>34-7044702</t>
  </si>
  <si>
    <t>264 Lakeside Cir</t>
  </si>
  <si>
    <t>Marysville</t>
  </si>
  <si>
    <t>WEAVER FAMILY PRIVATE FOUNDATION</t>
  </si>
  <si>
    <t>37-1423304</t>
  </si>
  <si>
    <t>1780 Happ Rd</t>
  </si>
  <si>
    <t>CHANDLER FAMILY FOUNDATION</t>
  </si>
  <si>
    <t>38-3563300</t>
  </si>
  <si>
    <t>41000 Woodward Ave Ste 120 E</t>
  </si>
  <si>
    <t>THE ANNA WELSH THORNTON &amp; ALEXANDER PARKER THORNTON CHARITABLE TRUST</t>
  </si>
  <si>
    <t>75-6496915</t>
  </si>
  <si>
    <t>RICHARD D REIS FAMILY FOUNDATION</t>
  </si>
  <si>
    <t>26-1184358</t>
  </si>
  <si>
    <t>9 Weebetook Ln</t>
  </si>
  <si>
    <t>KATHRYN P WILLIS CHARITABLE TRUST</t>
  </si>
  <si>
    <t>45-6226360</t>
  </si>
  <si>
    <t>MICHAEL AND DIANE HORA CHARITABLE FOUNDATION TR 07191999</t>
  </si>
  <si>
    <t>36-7279846</t>
  </si>
  <si>
    <t>2970 N Lake Shore Dr Apt 19bc</t>
  </si>
  <si>
    <t>DR HANS AND BETTY RUBIN MEMORIAL FUND</t>
  </si>
  <si>
    <t>34-6884022</t>
  </si>
  <si>
    <t>COMMUNITY FOUNDATION OF MONROE COUNTY</t>
  </si>
  <si>
    <t>38-2236628</t>
  </si>
  <si>
    <t>28 S Macomb St</t>
  </si>
  <si>
    <t>DOROTHY C AND RICHARD A PARKS FOUNDATION</t>
  </si>
  <si>
    <t>36-4476024</t>
  </si>
  <si>
    <t>2321 Plainfield Rd</t>
  </si>
  <si>
    <t>Crest Hill</t>
  </si>
  <si>
    <t>MELVIN R BAUM PRIVATE FOUNDATION INC</t>
  </si>
  <si>
    <t>37-1379627</t>
  </si>
  <si>
    <t>866 N Main St</t>
  </si>
  <si>
    <t>RUGGLES FAMILY FOUDATION</t>
  </si>
  <si>
    <t>26-6381931</t>
  </si>
  <si>
    <t>WILLIAM G &amp; BETTY SCHUETT FAMILY FOUNDATION INC</t>
  </si>
  <si>
    <t>39-1892757</t>
  </si>
  <si>
    <t>2900 W Hidden Lake Rd</t>
  </si>
  <si>
    <t>G-BAR PHILANTHROPIC FOUNDATION</t>
  </si>
  <si>
    <t>20-3222820</t>
  </si>
  <si>
    <t>440 S Lasalle St 650</t>
  </si>
  <si>
    <t>ZITA CHARITABLE TRUST</t>
  </si>
  <si>
    <t>20-5177582</t>
  </si>
  <si>
    <t>10 S Dearborn Fl 21</t>
  </si>
  <si>
    <t>HASTINGS MUTUAL INSURANCE COMPANY CHARITABLE FOUNDATION</t>
  </si>
  <si>
    <t>20-2031029</t>
  </si>
  <si>
    <t>404 E Woodlawn Ave</t>
  </si>
  <si>
    <t>Hastings</t>
  </si>
  <si>
    <t>HARVEY AND ETHEL DAEUMER FOUNDATION</t>
  </si>
  <si>
    <t>36-4462103</t>
  </si>
  <si>
    <t>2175 Point Blvd Ste 150</t>
  </si>
  <si>
    <t>THE MINKIN FAMILY FOUNDATION</t>
  </si>
  <si>
    <t>38-3259421</t>
  </si>
  <si>
    <t>TRACY FAMILY FOUNDATION</t>
  </si>
  <si>
    <t>36-4163760</t>
  </si>
  <si>
    <t>Po Box 25</t>
  </si>
  <si>
    <t>Mt Sterling</t>
  </si>
  <si>
    <t>AVRUM GRAY FAMILY FUND</t>
  </si>
  <si>
    <t>20-1533159</t>
  </si>
  <si>
    <t>FRANKLIN G BERLIN FOUNDATION INC</t>
  </si>
  <si>
    <t>31-1468179</t>
  </si>
  <si>
    <t>PERRIN FAMILY PARK FOUNDATION INC</t>
  </si>
  <si>
    <t>31-1128856</t>
  </si>
  <si>
    <t>414 Perrin Ln</t>
  </si>
  <si>
    <t>SALIBA FAMILY CHARITABLE FOUNDATION INC</t>
  </si>
  <si>
    <t>26-3189604</t>
  </si>
  <si>
    <t>135 S Lasalle Ste 3400</t>
  </si>
  <si>
    <t>THEODORE ECKERT FOUNDATION</t>
  </si>
  <si>
    <t>36-4333970</t>
  </si>
  <si>
    <t>5757 W Howard St</t>
  </si>
  <si>
    <t>Niles</t>
  </si>
  <si>
    <t>SHAWANO COUNTY JOB CENTER INC</t>
  </si>
  <si>
    <t>39-1883592</t>
  </si>
  <si>
    <t>Po Box 21</t>
  </si>
  <si>
    <t>Shawano</t>
  </si>
  <si>
    <t>LOEWENBERG CHARITABLE FOUNDATION</t>
  </si>
  <si>
    <t>46-4289985</t>
  </si>
  <si>
    <t>179 East Lake Shore Dr Ste 22w</t>
  </si>
  <si>
    <t>MILDRED &amp; BERNARD DOYLE CHARITABLE TRUST 44404890</t>
  </si>
  <si>
    <t>65-6232467</t>
  </si>
  <si>
    <t>BETTY V AND JOHN M JACOBSON FOUNDATION</t>
  </si>
  <si>
    <t>27-0412575</t>
  </si>
  <si>
    <t>JAY WHIPPLE FAMILY FOUNDATION</t>
  </si>
  <si>
    <t>36-4212048</t>
  </si>
  <si>
    <t>Po Box 151</t>
  </si>
  <si>
    <t>BARBARA NOTZ HINES FOUNDATION</t>
  </si>
  <si>
    <t>36-4284592</t>
  </si>
  <si>
    <t>200 S Wacker Dr Fl 3800</t>
  </si>
  <si>
    <t>DAVID &amp; LINDA MOSCOW FOUNDATION</t>
  </si>
  <si>
    <t>36-4116668</t>
  </si>
  <si>
    <t>414 N Orleans St Ste 320</t>
  </si>
  <si>
    <t>ACUITY CHARITABLE FOUNDATION INC</t>
  </si>
  <si>
    <t>20-0354193</t>
  </si>
  <si>
    <t>Po Box 58</t>
  </si>
  <si>
    <t>GATES CHARITABLE TR</t>
  </si>
  <si>
    <t>36-7193328</t>
  </si>
  <si>
    <t>410 N Michigan Ave Ste 333</t>
  </si>
  <si>
    <t>ROYAL E ROSTENBACH FOUNDATION</t>
  </si>
  <si>
    <t>31-1481801</t>
  </si>
  <si>
    <t>SKEGGS FOUNDATION</t>
  </si>
  <si>
    <t>34-6575001</t>
  </si>
  <si>
    <t>JOE &amp; MARY LEARY TR UW 053194</t>
  </si>
  <si>
    <t>61-6225916</t>
  </si>
  <si>
    <t>Po Box 309</t>
  </si>
  <si>
    <t>FLORENCE S WEAVER TR</t>
  </si>
  <si>
    <t>34-7205128</t>
  </si>
  <si>
    <t>AMERICAN ELECTRIC POWER FOUNDATION</t>
  </si>
  <si>
    <t>20-3886453</t>
  </si>
  <si>
    <t>1 Riverside Plaza</t>
  </si>
  <si>
    <t>GRIFFITH FAMILY FOUNDATION INC</t>
  </si>
  <si>
    <t>26-3922751</t>
  </si>
  <si>
    <t>663 Forest Blvd</t>
  </si>
  <si>
    <t>LESLYE HUTTON PHILLIPS FAMILY FOUNDATION</t>
  </si>
  <si>
    <t>27-4817621</t>
  </si>
  <si>
    <t>WOHLERS FAMILY FOUNDATION</t>
  </si>
  <si>
    <t>26-0530001</t>
  </si>
  <si>
    <t>TRIO FOUNDATION</t>
  </si>
  <si>
    <t>26-1115900</t>
  </si>
  <si>
    <t>45 Indian Hill Rd</t>
  </si>
  <si>
    <t>BINDLEY FAMILY FOUNDATION INC</t>
  </si>
  <si>
    <t>35-2015772</t>
  </si>
  <si>
    <t>8909 Purdue Rd Ste 500</t>
  </si>
  <si>
    <t>VENICE L WALLENBERG CHARITABLE TR 8300278500</t>
  </si>
  <si>
    <t>32-6053506</t>
  </si>
  <si>
    <t>SILLS FOUNDATION INC</t>
  </si>
  <si>
    <t>38-3352516</t>
  </si>
  <si>
    <t>6060 Braemoor Rd</t>
  </si>
  <si>
    <t>DOW CHEMICAL COMPANY FOUNDATION</t>
  </si>
  <si>
    <t>38-2314603</t>
  </si>
  <si>
    <t>2030 Dow Center Tax Department</t>
  </si>
  <si>
    <t>REINECK FAM SCHOLARSHIP TR</t>
  </si>
  <si>
    <t>75-6674264</t>
  </si>
  <si>
    <t>Po Box 146</t>
  </si>
  <si>
    <t>Chilton</t>
  </si>
  <si>
    <t>FITZSIMONDS CHARITABLE TRUST</t>
  </si>
  <si>
    <t>31-1723311</t>
  </si>
  <si>
    <t>TWOMEY FOUNDATION</t>
  </si>
  <si>
    <t>37-1330616</t>
  </si>
  <si>
    <t>587 90th Ave</t>
  </si>
  <si>
    <t>Roseville</t>
  </si>
  <si>
    <t>MIELCAREK FAMILY FOUNDATION INC</t>
  </si>
  <si>
    <t>39-2008964</t>
  </si>
  <si>
    <t>3139 Vinburn Rd</t>
  </si>
  <si>
    <t>Sun Prairie</t>
  </si>
  <si>
    <t>THE BRUCE KRIER CHARITABLE FOUNDATION INC</t>
  </si>
  <si>
    <t>80-0322569</t>
  </si>
  <si>
    <t>520 Wolf Rd</t>
  </si>
  <si>
    <t>Random Lake</t>
  </si>
  <si>
    <t>OSTEPATHIC HERITAGE FOUNDATION OF NELSONVILLE</t>
  </si>
  <si>
    <t>31-1624553</t>
  </si>
  <si>
    <t>1500 Lake Shore Dr Ste 230</t>
  </si>
  <si>
    <t>KRAFT FOODS GROUP FOUNDATION</t>
  </si>
  <si>
    <t>46-0858318</t>
  </si>
  <si>
    <t>3 Lakes Dr</t>
  </si>
  <si>
    <t>Northfield</t>
  </si>
  <si>
    <t>THE LEN-ARI FOUNDATION INC</t>
  </si>
  <si>
    <t>20-1317221</t>
  </si>
  <si>
    <t>5642 Coventry Ln</t>
  </si>
  <si>
    <t>CAMBRIDGE AREA YMCA FOUNDATION</t>
  </si>
  <si>
    <t>31-1483233</t>
  </si>
  <si>
    <t>1301 Clairmont Ave</t>
  </si>
  <si>
    <t>Cambridge</t>
  </si>
  <si>
    <t>KENNETH H AND SARAH M RENAU FOUNDATION INC</t>
  </si>
  <si>
    <t>61-1563465</t>
  </si>
  <si>
    <t>6450 Dutchmans Pkwy</t>
  </si>
  <si>
    <t>DEAN C ZUTES TR UW ARTICLE VI</t>
  </si>
  <si>
    <t>16-6533527</t>
  </si>
  <si>
    <t>10 S Dearborn St Ste 21 Fl</t>
  </si>
  <si>
    <t>EARL D SCHOEFFNER CHARITABLE TR</t>
  </si>
  <si>
    <t>27-6685727</t>
  </si>
  <si>
    <t>5735 S State Route 1</t>
  </si>
  <si>
    <t>Saint Anne</t>
  </si>
  <si>
    <t>FINK FOUNDATION INC TR</t>
  </si>
  <si>
    <t>35-6640978</t>
  </si>
  <si>
    <t>ANDERSEN-FORMOLO FAMILY FOUNDATION</t>
  </si>
  <si>
    <t>20-1917495</t>
  </si>
  <si>
    <t>115 De Windt Rd</t>
  </si>
  <si>
    <t>SELMA J HARTKE COMMUNITY FOUNDATION</t>
  </si>
  <si>
    <t>37-1406237</t>
  </si>
  <si>
    <t>Po Box 19264</t>
  </si>
  <si>
    <t>Springfield</t>
  </si>
  <si>
    <t>CARITAS FOUNDATION</t>
  </si>
  <si>
    <t>41-6487728</t>
  </si>
  <si>
    <t>Po Box 1150</t>
  </si>
  <si>
    <t>RHONDA AND LARRY A SHEAKLEY FAMILY FOUNDATION</t>
  </si>
  <si>
    <t>31-1679150</t>
  </si>
  <si>
    <t>320 Broadway St</t>
  </si>
  <si>
    <t>SEQUOIA FOUNDATION</t>
  </si>
  <si>
    <t>26-0902965</t>
  </si>
  <si>
    <t>1901 Estes Ave</t>
  </si>
  <si>
    <t>Elk Grove Vlg</t>
  </si>
  <si>
    <t>SONDHEIMER FAMILY CHARITABLE FOUNDATION</t>
  </si>
  <si>
    <t>26-3060552</t>
  </si>
  <si>
    <t>2630 Laurel Ln</t>
  </si>
  <si>
    <t>Wilmette</t>
  </si>
  <si>
    <t>CAPITAL REGION COMMUNITY FOUNDATION</t>
  </si>
  <si>
    <t>38-2776652</t>
  </si>
  <si>
    <t>330 Marshall Street,  Suite 300</t>
  </si>
  <si>
    <t>National Credit Union Foundation, Inc.</t>
  </si>
  <si>
    <t>39-1383650</t>
  </si>
  <si>
    <t>5710 Mineral Point Rd</t>
  </si>
  <si>
    <t>P51 (Financial Counseling, Money Management)</t>
  </si>
  <si>
    <t>THE ESTHER &amp; GEORGE JARUGA CHARITABLE FOUNDATION</t>
  </si>
  <si>
    <t>46-0571766</t>
  </si>
  <si>
    <t>31698 E Bell Vine Trl</t>
  </si>
  <si>
    <t>Beverly Hills</t>
  </si>
  <si>
    <t>HYATT HOTELS FOUNDATION</t>
  </si>
  <si>
    <t>46-2918450</t>
  </si>
  <si>
    <t>71 S Wacker Dr 12th Fl</t>
  </si>
  <si>
    <t>The Community Foundation for Crawford County</t>
  </si>
  <si>
    <t>34-1465822</t>
  </si>
  <si>
    <t>254 East Mansfield Street</t>
  </si>
  <si>
    <t>Bucyrus</t>
  </si>
  <si>
    <t>FORT WAYNE CENTRAL IMPROVEMENT FOUNDATION INC</t>
  </si>
  <si>
    <t>35-1527622</t>
  </si>
  <si>
    <t>555 E Wayne St</t>
  </si>
  <si>
    <t>AK STEEL FOUNDATION</t>
  </si>
  <si>
    <t>31-1284344</t>
  </si>
  <si>
    <t>9227 Centre Pointe Dr</t>
  </si>
  <si>
    <t>West Chester</t>
  </si>
  <si>
    <t>MYLANDER FOUNDATION-2001</t>
  </si>
  <si>
    <t>34-1945747</t>
  </si>
  <si>
    <t>100 E Water St</t>
  </si>
  <si>
    <t>MAURICE WALK FINE ARTS FOUNDATION</t>
  </si>
  <si>
    <t>36-4327696</t>
  </si>
  <si>
    <t>135 S Lasalle St Ste 2350</t>
  </si>
  <si>
    <t>MICHAEL W LOUIS CHARITABLE TRUST U A DATED 01-21-98</t>
  </si>
  <si>
    <t>36-7216588</t>
  </si>
  <si>
    <t>135 S Lasalle St 2350</t>
  </si>
  <si>
    <t>MERWIN FOUNDATION INC</t>
  </si>
  <si>
    <t>37-1401906</t>
  </si>
  <si>
    <t>Po Box 1665</t>
  </si>
  <si>
    <t>MARTIN FAMILY FOUNDATION</t>
  </si>
  <si>
    <t>38-3340278</t>
  </si>
  <si>
    <t>115 Depot St</t>
  </si>
  <si>
    <t>THE JOHN AND KATHLEEN SCHREIBER FOUNDATION</t>
  </si>
  <si>
    <t>42-1684377</t>
  </si>
  <si>
    <t>682 Bank Lane Suite 200</t>
  </si>
  <si>
    <t>CHARLES W MUELLER FAMILY FOUNDATION</t>
  </si>
  <si>
    <t>45-3676441</t>
  </si>
  <si>
    <t>1746 Alexander St</t>
  </si>
  <si>
    <t>Belleville</t>
  </si>
  <si>
    <t>JEFFREY R RALSTON FOUNDATION</t>
  </si>
  <si>
    <t>52-1909846</t>
  </si>
  <si>
    <t>RICHARD W MCCARTHY CHARITABLE TR</t>
  </si>
  <si>
    <t>27-6111032</t>
  </si>
  <si>
    <t>329-18th St Ste 100</t>
  </si>
  <si>
    <t>Rock Island</t>
  </si>
  <si>
    <t>MARY FROST ASHLEY CHARITABLE TRUST</t>
  </si>
  <si>
    <t>26-1417061</t>
  </si>
  <si>
    <t>DICK SCHEFFEL FAMILY CHARITABLE FOUNDATION</t>
  </si>
  <si>
    <t>27-1036243</t>
  </si>
  <si>
    <t>RUTH O SECORD PERPETUAL CHARITABLE TRUST</t>
  </si>
  <si>
    <t>45-2684146</t>
  </si>
  <si>
    <t>VIRGINIA J SAXON SCHOLARSHIP FUND</t>
  </si>
  <si>
    <t>36-7467799</t>
  </si>
  <si>
    <t>THOMAS J &amp; KATHLEEN M LAIRD FAMILY FOUNDATION</t>
  </si>
  <si>
    <t>26-1083958</t>
  </si>
  <si>
    <t>2145 Wembley Pl</t>
  </si>
  <si>
    <t>ARDEN FOUNDATION INC</t>
  </si>
  <si>
    <t>39-2012512</t>
  </si>
  <si>
    <t>1200 N Mayfair Rd Ste 430</t>
  </si>
  <si>
    <t>ALLENE N GILMAN CHARITABLE TR</t>
  </si>
  <si>
    <t>26-6375848</t>
  </si>
  <si>
    <t>4608 Sawmill Rd</t>
  </si>
  <si>
    <t>JOHN R WOODS FOUNDATION</t>
  </si>
  <si>
    <t>27-6155799</t>
  </si>
  <si>
    <t>120 S Lasalle St 7th St</t>
  </si>
  <si>
    <t>JOHN R OLTMAN CHARITABLE FOUNDATION</t>
  </si>
  <si>
    <t>36-4054942</t>
  </si>
  <si>
    <t>20 N Martingale Rd Ste 500</t>
  </si>
  <si>
    <t>OWSLEY BROWN II COCKAYNE FUND INC</t>
  </si>
  <si>
    <t>45-2961442</t>
  </si>
  <si>
    <t>CAMIENER FOUNDATION</t>
  </si>
  <si>
    <t>27-4384055</t>
  </si>
  <si>
    <t>5886 Briarhill Dr</t>
  </si>
  <si>
    <t>FRANCES MASSER MD CHARITABLE TR</t>
  </si>
  <si>
    <t>27-6548145</t>
  </si>
  <si>
    <t>909 Lily Creek Road 101</t>
  </si>
  <si>
    <t>HELEN M HARRISON FOUNDATION INC</t>
  </si>
  <si>
    <t>42-1668546</t>
  </si>
  <si>
    <t>333 W Wacker Dr Attn T Carroll</t>
  </si>
  <si>
    <t>WEBER FAMILY FOUNDATION INC</t>
  </si>
  <si>
    <t>61-1644894</t>
  </si>
  <si>
    <t>MARY GAYLORD FOUNDATION</t>
  </si>
  <si>
    <t>73-1519735</t>
  </si>
  <si>
    <t>Po Box 100</t>
  </si>
  <si>
    <t>Simpsonville</t>
  </si>
  <si>
    <t>80 20 FOUNDATION INC</t>
  </si>
  <si>
    <t>20-4217594</t>
  </si>
  <si>
    <t>3821 W County Line Rd S</t>
  </si>
  <si>
    <t>THE LESLIE C MAPP FOUNDATION</t>
  </si>
  <si>
    <t>31-6647864</t>
  </si>
  <si>
    <t>10 S Dearborn St</t>
  </si>
  <si>
    <t>CEDAR HILL FOUNDATION</t>
  </si>
  <si>
    <t>13-3948444</t>
  </si>
  <si>
    <t>ENERGIZER CHARITABLE TRUST 26-08149</t>
  </si>
  <si>
    <t>36-7324191</t>
  </si>
  <si>
    <t>E U P COMMUNITY FOUNDATION ALLIANCE INC</t>
  </si>
  <si>
    <t>38-3210718</t>
  </si>
  <si>
    <t>Po Box 1979</t>
  </si>
  <si>
    <t>Sault S Marie</t>
  </si>
  <si>
    <t>CHRIST CARES FOR KIDS FOUNDATION</t>
  </si>
  <si>
    <t>38-3505507</t>
  </si>
  <si>
    <t>107 Cass St Ste H</t>
  </si>
  <si>
    <t>SHIRLIE AND OWEN SIEGEL FOUNDATION</t>
  </si>
  <si>
    <t>20-3903312</t>
  </si>
  <si>
    <t>1415 Elinor Pl</t>
  </si>
  <si>
    <t>DUANE H AND DOROTHY M BLUEMKE CHARITABLE FOUNDATION LTD</t>
  </si>
  <si>
    <t>20-2058965</t>
  </si>
  <si>
    <t>Po Box 425</t>
  </si>
  <si>
    <t>Sturgeon Bay</t>
  </si>
  <si>
    <t>ELIZABETH ANN BECK FOUNDATION INC</t>
  </si>
  <si>
    <t>35-2151965</t>
  </si>
  <si>
    <t>15109 Count Fleet Ct</t>
  </si>
  <si>
    <t>MARION AND WALTER C BATEMAN JR MEMORIAL FUND</t>
  </si>
  <si>
    <t>95-4121321</t>
  </si>
  <si>
    <t>AKRON COMMUNITY FOUNDATION</t>
  </si>
  <si>
    <t>34-1087615</t>
  </si>
  <si>
    <t>345 W Cedar St</t>
  </si>
  <si>
    <t>MCHENRY COUNTY COMMUNITY FOUNDATION</t>
  </si>
  <si>
    <t>36-4465219</t>
  </si>
  <si>
    <t>101 South Benton</t>
  </si>
  <si>
    <t>Suite 10</t>
  </si>
  <si>
    <t>Woodstock</t>
  </si>
  <si>
    <t>LOPRETE FAMILY FOUNDATION</t>
  </si>
  <si>
    <t>20-3641412</t>
  </si>
  <si>
    <t>40950 Woodward Ave Ste 306</t>
  </si>
  <si>
    <t>MICHIGAN AEROSPACE FOUNDATION INC</t>
  </si>
  <si>
    <t>38-3603828</t>
  </si>
  <si>
    <t>PO Box 8282</t>
  </si>
  <si>
    <t>A54 (History Museums)</t>
  </si>
  <si>
    <t>OTSEGO COUNTY COMMUNITY FOUNDATION</t>
  </si>
  <si>
    <t>38-3216235</t>
  </si>
  <si>
    <t>Po Box 344</t>
  </si>
  <si>
    <t>Gaylord</t>
  </si>
  <si>
    <t>PLYMOUTH EDUCATION FOUNDATION INC</t>
  </si>
  <si>
    <t>39-1633735</t>
  </si>
  <si>
    <t>125 S Highland Ave</t>
  </si>
  <si>
    <t>Funeral Service Foundation</t>
  </si>
  <si>
    <t>39-1831612</t>
  </si>
  <si>
    <t>13625 Bishop's Drive</t>
  </si>
  <si>
    <t>OSCAR AND ANNA BENTLEY CHARITABLE FOUNDATION INC</t>
  </si>
  <si>
    <t>20-1026113</t>
  </si>
  <si>
    <t>4930 Lake Mendota Dr</t>
  </si>
  <si>
    <t>PATRICK J AND JANET L THOMPSON FAMILY FOUNDATION INC</t>
  </si>
  <si>
    <t>26-1404215</t>
  </si>
  <si>
    <t>9 N Kurt Ave</t>
  </si>
  <si>
    <t>WORTHINGTON FAMILY FOUNDATION</t>
  </si>
  <si>
    <t>26-4445573</t>
  </si>
  <si>
    <t>Po Box 4311</t>
  </si>
  <si>
    <t>THE ONE CANDLE FOUNDATION</t>
  </si>
  <si>
    <t>31-1544403</t>
  </si>
  <si>
    <t>16900 Lake Ave</t>
  </si>
  <si>
    <t>Lakewood</t>
  </si>
  <si>
    <t>F J FOUNDATION INC</t>
  </si>
  <si>
    <t>35-2121507</t>
  </si>
  <si>
    <t>5741 Hillside Cir</t>
  </si>
  <si>
    <t>Georgetown</t>
  </si>
  <si>
    <t>HAROLD M AND ADELINE S MORRISON FAMILY FOUNDATION</t>
  </si>
  <si>
    <t>36-7090069</t>
  </si>
  <si>
    <t>50 E Washington St Ste 400</t>
  </si>
  <si>
    <t>SODERSTROM FAMILY CHARITABLE TR</t>
  </si>
  <si>
    <t>36-7187407</t>
  </si>
  <si>
    <t>4909 N Glen Park Place Rd</t>
  </si>
  <si>
    <t>P 4 P FOUNDATION</t>
  </si>
  <si>
    <t>37-6474263</t>
  </si>
  <si>
    <t>4 W Fourth St</t>
  </si>
  <si>
    <t>BLACK RIVER FALLS AREA FOUNDATION</t>
  </si>
  <si>
    <t>39-1563654</t>
  </si>
  <si>
    <t>Po Box 99</t>
  </si>
  <si>
    <t>Blk River Fls</t>
  </si>
  <si>
    <t>DICKINSON SCHOOL TR UA 081294 43-11 07-00-2</t>
  </si>
  <si>
    <t>39-6599850</t>
  </si>
  <si>
    <t>LEON V SKUBITZ &amp; DOROTHY M SKUBITZ FOUNDATION</t>
  </si>
  <si>
    <t>56-2606714</t>
  </si>
  <si>
    <t>STUART AND BENJAMIN ABELSON FOUNDATION TR</t>
  </si>
  <si>
    <t>20-1704170</t>
  </si>
  <si>
    <t>131 S Dearborn</t>
  </si>
  <si>
    <t>BURNHAM FAMILY FOUNDATION</t>
  </si>
  <si>
    <t>20-3680686</t>
  </si>
  <si>
    <t>622 Jennings Ln</t>
  </si>
  <si>
    <t>HOUGH FAMILY FOUNDATION</t>
  </si>
  <si>
    <t>26-0176778</t>
  </si>
  <si>
    <t>7 Buege Ln</t>
  </si>
  <si>
    <t>Burr Ridge</t>
  </si>
  <si>
    <t>STERNER FAMILY FOUNDATION</t>
  </si>
  <si>
    <t>26-3832018</t>
  </si>
  <si>
    <t>500 W Silver Spring Dr Ste K200</t>
  </si>
  <si>
    <t>Glendale</t>
  </si>
  <si>
    <t>HARDING FAMILY CHARITABLE TRUST</t>
  </si>
  <si>
    <t>30-0021471</t>
  </si>
  <si>
    <t>THE SHEPHERDS HAND</t>
  </si>
  <si>
    <t>38-2092191</t>
  </si>
  <si>
    <t>4943 Birchcrest Dr</t>
  </si>
  <si>
    <t>Oscoda</t>
  </si>
  <si>
    <t>JOSEPH AND SUZANNE ORLEY FOUNDATION</t>
  </si>
  <si>
    <t>38-3343679</t>
  </si>
  <si>
    <t>201 W Big Beaver Rd Ste 720</t>
  </si>
  <si>
    <t>EPPERT FAM FOUNDATION</t>
  </si>
  <si>
    <t>38-3536682</t>
  </si>
  <si>
    <t>1138 Fox Chase Rd</t>
  </si>
  <si>
    <t>MILTON AND SYLVIA PIERCE FOUNDATION</t>
  </si>
  <si>
    <t>38-3515181</t>
  </si>
  <si>
    <t>20800 Southfield Rd</t>
  </si>
  <si>
    <t>NEWCOMB FAMILY TRUST</t>
  </si>
  <si>
    <t>61-6241019</t>
  </si>
  <si>
    <t>1360 E John Rowan Blvd</t>
  </si>
  <si>
    <t>Bardstown</t>
  </si>
  <si>
    <t>Chicago Community Trust</t>
  </si>
  <si>
    <t>36-2167000</t>
  </si>
  <si>
    <t>225 North Michigan Ave. Suite 2200</t>
  </si>
  <si>
    <t>FRIENDS OF COMMUNITY MEMORIAL HOSPITAL FOUNDATION</t>
  </si>
  <si>
    <t>36-3913722</t>
  </si>
  <si>
    <t>400 N Caldwell</t>
  </si>
  <si>
    <t>Staunton</t>
  </si>
  <si>
    <t>G L VITALE FAMILY FOUNDATION</t>
  </si>
  <si>
    <t>27-3097971</t>
  </si>
  <si>
    <t>HELEN AND BERNARD KOZLOFF FAMILY FOUNDATION</t>
  </si>
  <si>
    <t>32-0081700</t>
  </si>
  <si>
    <t>1825 S Prairie Ave</t>
  </si>
  <si>
    <t>COMMUNITY FOUNDATION OF JACKSON COUNTY INC</t>
  </si>
  <si>
    <t>31-1119856</t>
  </si>
  <si>
    <t>PO Box 1231</t>
  </si>
  <si>
    <t>Seymour</t>
  </si>
  <si>
    <t>WUEST-FANNING FAMILY FOUNDATION INC</t>
  </si>
  <si>
    <t>31-1640922</t>
  </si>
  <si>
    <t>6284 Crittenden Dr</t>
  </si>
  <si>
    <t>BERT AND ANN SHEARER FOUNDATION</t>
  </si>
  <si>
    <t>31-1681324</t>
  </si>
  <si>
    <t>Community Foundation of Shelby County</t>
  </si>
  <si>
    <t>34-6565194</t>
  </si>
  <si>
    <t>100 S Main Ave</t>
  </si>
  <si>
    <t>Ste 202</t>
  </si>
  <si>
    <t>Sidney</t>
  </si>
  <si>
    <t>WHITLEY COUNTY COMMUNITY FOUNDATION INC</t>
  </si>
  <si>
    <t>35-1860518</t>
  </si>
  <si>
    <t>400 N Whitley St</t>
  </si>
  <si>
    <t>Columbia City</t>
  </si>
  <si>
    <t>TUSCOLA COUNTY COMMUNITY FOUNDATION</t>
  </si>
  <si>
    <t>38-3351315</t>
  </si>
  <si>
    <t>Po Box 534</t>
  </si>
  <si>
    <t>Caro</t>
  </si>
  <si>
    <t>BLUE COATS FOUNDATION INC</t>
  </si>
  <si>
    <t>39-6098113</t>
  </si>
  <si>
    <t>OLIVE M CLARK TRUST 216411</t>
  </si>
  <si>
    <t>35-6057815</t>
  </si>
  <si>
    <t>HENRY AND GILDA BUCHBINDER FAMILY FOUNDATION</t>
  </si>
  <si>
    <t>36-4452084</t>
  </si>
  <si>
    <t>875 N Michigan Ave 31st Floor</t>
  </si>
  <si>
    <t>RICHARD K THOMPSON FOUNDATION</t>
  </si>
  <si>
    <t>38-3447218</t>
  </si>
  <si>
    <t>24417 Groesbeck Hwy</t>
  </si>
  <si>
    <t>LEONARD J JAMES LIBRARY TR FUND</t>
  </si>
  <si>
    <t>39-6776627</t>
  </si>
  <si>
    <t>THE SAMUEL AND JEAN FRANKEL FINE ARTS FOUNDATION</t>
  </si>
  <si>
    <t>30-0095026</t>
  </si>
  <si>
    <t>1671 Lochridge Rd</t>
  </si>
  <si>
    <t>MERZ CHARITABLE TR</t>
  </si>
  <si>
    <t>30-6145825</t>
  </si>
  <si>
    <t>FRANK FOUNDATION TR</t>
  </si>
  <si>
    <t>36-7238319</t>
  </si>
  <si>
    <t xml:space="preserve">ALLEGAN COUNTY COMMUNITY FOUNDATION                                   </t>
  </si>
  <si>
    <t>38-6189947</t>
  </si>
  <si>
    <t>524 Marshall St</t>
  </si>
  <si>
    <t>MARY M &amp; EMMETT J DOERR CHAR TR</t>
  </si>
  <si>
    <t>39-6756635</t>
  </si>
  <si>
    <t>111 W Monroe St Fl 10c</t>
  </si>
  <si>
    <t>ESTHER AND HYMAN RAPPORT PHILANTHROPIC TR</t>
  </si>
  <si>
    <t>86-6338329</t>
  </si>
  <si>
    <t>C/O Richard C Klein 33800 Jackson</t>
  </si>
  <si>
    <t>Moreland Hills</t>
  </si>
  <si>
    <t>WOODRUFF FOUNDATION</t>
  </si>
  <si>
    <t>23-7425631</t>
  </si>
  <si>
    <t>20600 Chagrin Blvd</t>
  </si>
  <si>
    <t>Shaker Heights</t>
  </si>
  <si>
    <t>PICKAWAY COUNTY COMMUNITY FOUNDATION</t>
  </si>
  <si>
    <t>31-1777036</t>
  </si>
  <si>
    <t>Po Box 3</t>
  </si>
  <si>
    <t>Circleville</t>
  </si>
  <si>
    <t>CASS COUNTY COMMUNITY FOUNDATION INC</t>
  </si>
  <si>
    <t>35-2125727</t>
  </si>
  <si>
    <t>PO Box 441</t>
  </si>
  <si>
    <t>Logansport</t>
  </si>
  <si>
    <t>Community Foundation of the Fox River Valley</t>
  </si>
  <si>
    <t>36-6086742</t>
  </si>
  <si>
    <t>111 West Downer Place</t>
  </si>
  <si>
    <t>Ste 312</t>
  </si>
  <si>
    <t>Aurora</t>
  </si>
  <si>
    <t>COMMUNITY SERVICES FOUNDATION</t>
  </si>
  <si>
    <t>36-3650550</t>
  </si>
  <si>
    <t>6775 Prosperi Drive</t>
  </si>
  <si>
    <t>Tinley Park</t>
  </si>
  <si>
    <t>LAPEER COUNTY COMMUNITY FOUNDATION</t>
  </si>
  <si>
    <t>20-1271563</t>
  </si>
  <si>
    <t>264 Cedar St</t>
  </si>
  <si>
    <t>Lapeer</t>
  </si>
  <si>
    <t>FAIRHAVEN FOUNDATION INC</t>
  </si>
  <si>
    <t>39-1797563</t>
  </si>
  <si>
    <t>435 W Starin Rd</t>
  </si>
  <si>
    <t>Whitewater</t>
  </si>
  <si>
    <t>HAMILTON FAMILY FOUNDATION INC</t>
  </si>
  <si>
    <t>39-1980599</t>
  </si>
  <si>
    <t>411 E Wisconsin Ave Von Briesen</t>
  </si>
  <si>
    <t>DLW FOUNDATION</t>
  </si>
  <si>
    <t>27-0638859</t>
  </si>
  <si>
    <t>MARIAN S LAWRY PRIVATE FOUNDATION</t>
  </si>
  <si>
    <t>27-6707238</t>
  </si>
  <si>
    <t>THE MIFSUD FAMILY FOUNDATION</t>
  </si>
  <si>
    <t>34-1881436</t>
  </si>
  <si>
    <t>Wadsworth</t>
  </si>
  <si>
    <t>H AND B FAMILY FOUNDATION</t>
  </si>
  <si>
    <t>20-3508196</t>
  </si>
  <si>
    <t>Po Box 298</t>
  </si>
  <si>
    <t>Lima</t>
  </si>
  <si>
    <t>DWIGHT AND LINDA DAVIS FOUNDATION</t>
  </si>
  <si>
    <t>26-3604136</t>
  </si>
  <si>
    <t>Po Box 8010</t>
  </si>
  <si>
    <t>THE CHARBONEAU FAMILY FOUNDATION</t>
  </si>
  <si>
    <t>20-8080199</t>
  </si>
  <si>
    <t>43535 Carla Dr</t>
  </si>
  <si>
    <t>Paw Paw</t>
  </si>
  <si>
    <t>THE JOHN S AND CYNTHIA REED FOUNDATION</t>
  </si>
  <si>
    <t>13-7219392</t>
  </si>
  <si>
    <t>Community Foundation of Boone County, Inc.</t>
  </si>
  <si>
    <t>35-1829585</t>
  </si>
  <si>
    <t>102 N. Lebanon Street</t>
  </si>
  <si>
    <t>Suite 200</t>
  </si>
  <si>
    <t>JENNINGS COUNTY COMMUNITY FOUNDATION INC</t>
  </si>
  <si>
    <t>35-1922885</t>
  </si>
  <si>
    <t>111 N State St</t>
  </si>
  <si>
    <t>North Vernon</t>
  </si>
  <si>
    <t>Porter County Community Foundation, Inc.</t>
  </si>
  <si>
    <t>35-2000788</t>
  </si>
  <si>
    <t>P. O. Box 302</t>
  </si>
  <si>
    <t>CLEARING ENDOWMENT TRUST</t>
  </si>
  <si>
    <t>39-6693988</t>
  </si>
  <si>
    <t>Po Box 65</t>
  </si>
  <si>
    <t>Ellison Bay</t>
  </si>
  <si>
    <t>CO-TR UW BERNARD DAILEY</t>
  </si>
  <si>
    <t>16-6550142</t>
  </si>
  <si>
    <t>HARLAN FAMILY FOUNDATION</t>
  </si>
  <si>
    <t>20-3994043</t>
  </si>
  <si>
    <t>7597 E Us Hwy 36</t>
  </si>
  <si>
    <t>Avon</t>
  </si>
  <si>
    <t>NED AND EMILY SHERWOOD FAMILY FOUNDATION</t>
  </si>
  <si>
    <t>36-4273196</t>
  </si>
  <si>
    <t>1 Indiana Sq Ste 1200</t>
  </si>
  <si>
    <t>HAMPARIAN FAMILY FOUNDATION INC</t>
  </si>
  <si>
    <t>39-1953042</t>
  </si>
  <si>
    <t>3051 Old Mill Dr</t>
  </si>
  <si>
    <t>ROSE FAMILY FOUNDATION</t>
  </si>
  <si>
    <t>61-6408392</t>
  </si>
  <si>
    <t>LEVEL FIELD INSTITUTE</t>
  </si>
  <si>
    <t>20-3437612</t>
  </si>
  <si>
    <t>209 Schwartz Dr</t>
  </si>
  <si>
    <t>501(c)(4) Civic Leagues and Social Welfare Organizations</t>
  </si>
  <si>
    <t>FOUNDATION OF AMERICAN FAMILY BUSINESS OWNERS INC</t>
  </si>
  <si>
    <t>27-0030644</t>
  </si>
  <si>
    <t>522 North Main Street</t>
  </si>
  <si>
    <t>Ste. 100</t>
  </si>
  <si>
    <t>Milford</t>
  </si>
  <si>
    <t>J W GARDNER II CAMP TRUST</t>
  </si>
  <si>
    <t>46-1125037</t>
  </si>
  <si>
    <t>4820 Broadway St</t>
  </si>
  <si>
    <t>OSSEOINTEGRATION FOUNDATION</t>
  </si>
  <si>
    <t>36-3773538</t>
  </si>
  <si>
    <t>85 W Algonquin Rd Ste 550</t>
  </si>
  <si>
    <t>Arlington Hts</t>
  </si>
  <si>
    <t>GRAND TRAVERSE REGIONAL COMMUNITY FOUNDATION</t>
  </si>
  <si>
    <t>38-3056434</t>
  </si>
  <si>
    <t>250 E Front St Ste 310</t>
  </si>
  <si>
    <t>BEATRICE B TINSLEY CHARITABLE TRUST</t>
  </si>
  <si>
    <t>65-6146949</t>
  </si>
  <si>
    <t>HAZEL TRAVIOLI TR</t>
  </si>
  <si>
    <t>35-6713911</t>
  </si>
  <si>
    <t>CHRISTINA AND JOHN ANAGNOS EDUCATIONAL FOUNDATION</t>
  </si>
  <si>
    <t>30-6022912</t>
  </si>
  <si>
    <t>9217 Kenton Ave</t>
  </si>
  <si>
    <t>ONEILL FOUNDATION</t>
  </si>
  <si>
    <t>31-1530980</t>
  </si>
  <si>
    <t>1499 W Main St</t>
  </si>
  <si>
    <t>Newark</t>
  </si>
  <si>
    <t>JAMES AND YVONNE ZIEMER FAMILY FOUNDATION</t>
  </si>
  <si>
    <t>39-6744914</t>
  </si>
  <si>
    <t>S67w24275 Skyline Ave</t>
  </si>
  <si>
    <t>HANNAH &amp; FRANK GROSSMAN CHARITABLE TR</t>
  </si>
  <si>
    <t>36-4120111</t>
  </si>
  <si>
    <t>223 W Jackson Blvd Ste 750</t>
  </si>
  <si>
    <t>PHP FOUNDATION INC</t>
  </si>
  <si>
    <t>20-4615314</t>
  </si>
  <si>
    <t>Po Box 11080</t>
  </si>
  <si>
    <t>BIFF RUTTENBERG FOUNDATION</t>
  </si>
  <si>
    <t>20-1762284</t>
  </si>
  <si>
    <t>55 E Monroe St</t>
  </si>
  <si>
    <t>SLITZER LAPAUSKY FOUNDATION</t>
  </si>
  <si>
    <t>45-4924885</t>
  </si>
  <si>
    <t>1422 Euclid Ave Ste 1130</t>
  </si>
  <si>
    <t>TAXMAN FAMILY FOUNDATION</t>
  </si>
  <si>
    <t>20-4568076</t>
  </si>
  <si>
    <t>5215 Old Orchard Rd Ste 130</t>
  </si>
  <si>
    <t>BERBEEWAISH FOUNDATION INC</t>
  </si>
  <si>
    <t>20-5892278</t>
  </si>
  <si>
    <t>Po Box 620676</t>
  </si>
  <si>
    <t>CHICAGO DENTAL SOCIETY FOUNDATION</t>
  </si>
  <si>
    <t>26-0784174</t>
  </si>
  <si>
    <t>401 N Michigan Ave Ste 200</t>
  </si>
  <si>
    <t>BLUE WATERS FOUNDATION</t>
  </si>
  <si>
    <t>27-4297287</t>
  </si>
  <si>
    <t>Po Box 372</t>
  </si>
  <si>
    <t>Eastport</t>
  </si>
  <si>
    <t>FRANK J &amp; JACQUELINE D KLONNE FOUNDATION</t>
  </si>
  <si>
    <t>31-1629017</t>
  </si>
  <si>
    <t>H L THOMPSON JR FAMILY FOUNDATION</t>
  </si>
  <si>
    <t>34-1912416</t>
  </si>
  <si>
    <t>10 W Second St 26th Fl</t>
  </si>
  <si>
    <t>SHEILA A PENROSE &amp; ERNEST MAHAFFEY CHARITABLE FOUNDATION INC</t>
  </si>
  <si>
    <t>36-4220588</t>
  </si>
  <si>
    <t>330 N Wabash Ave Ste 2100</t>
  </si>
  <si>
    <t>GEORGE H@PARR TRUST</t>
  </si>
  <si>
    <t>37-6113187</t>
  </si>
  <si>
    <t>Po Box 410</t>
  </si>
  <si>
    <t>Argenta</t>
  </si>
  <si>
    <t>CRAIN FAMILY FOUNDATION</t>
  </si>
  <si>
    <t>38-3618818</t>
  </si>
  <si>
    <t>1155 Gratiot Ave</t>
  </si>
  <si>
    <t>JOHN JUENGER CHARITABLE TRUST</t>
  </si>
  <si>
    <t>45-6390786</t>
  </si>
  <si>
    <t>Po Box 429</t>
  </si>
  <si>
    <t>Fairfield</t>
  </si>
  <si>
    <t>THE RUBY L HUGHES MEMORIAL FUND</t>
  </si>
  <si>
    <t>52-6956586</t>
  </si>
  <si>
    <t>DOROTHY M &amp; WILLIAM J HOCKIE CHARITABLE TR</t>
  </si>
  <si>
    <t>54-6507919</t>
  </si>
  <si>
    <t>HULDA B AND MAURICE L ROTHSCHILD FOUNDATION</t>
  </si>
  <si>
    <t>36-6752787</t>
  </si>
  <si>
    <t>558 West Hawthorne Place</t>
  </si>
  <si>
    <t>ED UIHLEIN FAMILY FOUNDATION</t>
  </si>
  <si>
    <t>20-5723621</t>
  </si>
  <si>
    <t>736 N Western Ave Ste 339</t>
  </si>
  <si>
    <t>HIGHLANDS FOUNDATION INC</t>
  </si>
  <si>
    <t>20-3941123</t>
  </si>
  <si>
    <t>4717 Hammersley Rd</t>
  </si>
  <si>
    <t>JOSHUA-JIM AND EUNICE STONE FOUNDATION</t>
  </si>
  <si>
    <t>27-0439220</t>
  </si>
  <si>
    <t>27235 Ovid Ct</t>
  </si>
  <si>
    <t>RENATE HANS AND MARIA HOFMANN TRUST C/O ROBERT S WARSHAW</t>
  </si>
  <si>
    <t>13-7102172</t>
  </si>
  <si>
    <t>10 S Dearborn Il10111</t>
  </si>
  <si>
    <t>KENU LAKE FAMILY FOUNDATION INC</t>
  </si>
  <si>
    <t>20-3745946</t>
  </si>
  <si>
    <t>W226n1509 North Ave</t>
  </si>
  <si>
    <t>JAMES J AND SHARON R ABEL FOUNDATION</t>
  </si>
  <si>
    <t>26-1248696</t>
  </si>
  <si>
    <t>2949 N Park Blvd</t>
  </si>
  <si>
    <t>Cleveland Hts</t>
  </si>
  <si>
    <t>CPB FOUNDATION</t>
  </si>
  <si>
    <t>34-7151671</t>
  </si>
  <si>
    <t>3550 Lander Rd</t>
  </si>
  <si>
    <t>LAWRENCE W INLOW FOUNDATION TR UA</t>
  </si>
  <si>
    <t>35-6637159</t>
  </si>
  <si>
    <t>135 N Pennsylvania St Ste 1100</t>
  </si>
  <si>
    <t>REBECCA SUSAN BUFFETT FOUNDATION</t>
  </si>
  <si>
    <t>36-4201771</t>
  </si>
  <si>
    <t>548 Hyacinth Pl</t>
  </si>
  <si>
    <t>JENNIFER FRIEDMAN HILLIS FAMILY FOUNDATION INC</t>
  </si>
  <si>
    <t>58-2464615</t>
  </si>
  <si>
    <t>951 E Wye Ln</t>
  </si>
  <si>
    <t>FOUNDATION FOR LEARNING AND DEVELOPMENT</t>
  </si>
  <si>
    <t>61-1407381</t>
  </si>
  <si>
    <t>8180 Mccormick Blvd</t>
  </si>
  <si>
    <t>SUDBURY CHARITABLE TR</t>
  </si>
  <si>
    <t>20-1110773</t>
  </si>
  <si>
    <t>CHICAGO COMMUNITY FOUNDATION</t>
  </si>
  <si>
    <t>36-3432023</t>
  </si>
  <si>
    <t>225 N Michigan Ave</t>
  </si>
  <si>
    <t>VANCE MEMORIAL FUND</t>
  </si>
  <si>
    <t>56-6045849</t>
  </si>
  <si>
    <t>LAWRENCE C SHERMAN FAMILY FOUNDATION</t>
  </si>
  <si>
    <t>34-1806781</t>
  </si>
  <si>
    <t>IMMERMAN FOUNDATION</t>
  </si>
  <si>
    <t>34-1533181</t>
  </si>
  <si>
    <t>MAE E DEMMER CHARITABLE TRUST</t>
  </si>
  <si>
    <t>31-1576907</t>
  </si>
  <si>
    <t>SALLY MEAD HANDS FOUNDATION</t>
  </si>
  <si>
    <t>32-0263007</t>
  </si>
  <si>
    <t>404 S Blount St Unit 101</t>
  </si>
  <si>
    <t>GERALD BAYLIN CHARITABLE TR</t>
  </si>
  <si>
    <t>27-6612805</t>
  </si>
  <si>
    <t>SUTARUK FOUNDATION</t>
  </si>
  <si>
    <t>11-3673305</t>
  </si>
  <si>
    <t>3926 S Pine Center St</t>
  </si>
  <si>
    <t>CHARLES E AND MARY ELEIZABETH SCRIPPS FOUNDATION INC</t>
  </si>
  <si>
    <t>26-1541507</t>
  </si>
  <si>
    <t>250 Grandview Dr Ste 400</t>
  </si>
  <si>
    <t>Fort Mitchell</t>
  </si>
  <si>
    <t>ROE GREEN FOUNDATION</t>
  </si>
  <si>
    <t>34-1886405</t>
  </si>
  <si>
    <t>1301 E 9th St Ste 1900</t>
  </si>
  <si>
    <t>ENCOMPASS CHARITIES</t>
  </si>
  <si>
    <t>46-0818096</t>
  </si>
  <si>
    <t>2775 Sanders Rd Ste C1</t>
  </si>
  <si>
    <t>ROSEMARY OVENDEN CHARITABLE TR 2</t>
  </si>
  <si>
    <t>34-7163405</t>
  </si>
  <si>
    <t>KENT H SMITH CHARITABLE TR 11012005</t>
  </si>
  <si>
    <t>13-7486409</t>
  </si>
  <si>
    <t>1111 Superior Ave E Ste 1000</t>
  </si>
  <si>
    <t>SOUTHHAMPTON SCHOOL DIST 6 P62402006</t>
  </si>
  <si>
    <t>13-7066300</t>
  </si>
  <si>
    <t>Z GARLAND AND CONTENT B FERGUSON CHARITABLE FOUNDATION 02-72201</t>
  </si>
  <si>
    <t>20-3452007</t>
  </si>
  <si>
    <t>SELFRELIANCE FOUNDATION</t>
  </si>
  <si>
    <t>20-5423872</t>
  </si>
  <si>
    <t>2332 W Chicago Ave</t>
  </si>
  <si>
    <t>THE FRANK AND PEARL E GELBMAN CHARITABLE TRUST</t>
  </si>
  <si>
    <t>20-6609204</t>
  </si>
  <si>
    <t>Po Box 1558</t>
  </si>
  <si>
    <t>DOUGLAS A AND MARGARET E DECAMPFOUNDATION</t>
  </si>
  <si>
    <t>20-8293300</t>
  </si>
  <si>
    <t>3485 W M 179 Hwy</t>
  </si>
  <si>
    <t>JOANN AND LEONARD ISBAN CHARITABLE FOUNDATION</t>
  </si>
  <si>
    <t>30-0229875</t>
  </si>
  <si>
    <t>2526 Western Ave</t>
  </si>
  <si>
    <t>RAY W &amp; ELEANOR R EMERSON CHARITABLE TR UW</t>
  </si>
  <si>
    <t>31-6452572</t>
  </si>
  <si>
    <t>GERTRUDE F ORR FOUNDATION</t>
  </si>
  <si>
    <t>34-6605100</t>
  </si>
  <si>
    <t>106 S Main St Ste 1600</t>
  </si>
  <si>
    <t>HERMAN &amp; KATHERINE PETERS FOUNDATION CORP</t>
  </si>
  <si>
    <t>36-4180010</t>
  </si>
  <si>
    <t>351 W Glade Rd</t>
  </si>
  <si>
    <t>LINDSAY FOUNDATION INC</t>
  </si>
  <si>
    <t>36-4484506</t>
  </si>
  <si>
    <t>135 S La Salle St Ste 2350</t>
  </si>
  <si>
    <t>J EDWARD MAHONEY FOUNDATION</t>
  </si>
  <si>
    <t>36-7192604</t>
  </si>
  <si>
    <t>14445 Spring Creek Rd</t>
  </si>
  <si>
    <t>Homer Glen</t>
  </si>
  <si>
    <t>KAREN &amp; DREW PESLAR FOUNDATION</t>
  </si>
  <si>
    <t>38-3374272</t>
  </si>
  <si>
    <t>401 S Old Woodward Ave Ste 433</t>
  </si>
  <si>
    <t>CUDAHY FOUNDATION</t>
  </si>
  <si>
    <t>39-6720806</t>
  </si>
  <si>
    <t>925 E Wells St Apt 420</t>
  </si>
  <si>
    <t>ALYCE J &amp; ANN J METKA CHARITABLE FOUNDATION</t>
  </si>
  <si>
    <t>91-2072206</t>
  </si>
  <si>
    <t>36 E Seminary St</t>
  </si>
  <si>
    <t>ED GARDNER TR</t>
  </si>
  <si>
    <t>61-6072909</t>
  </si>
  <si>
    <t>Po Box 2600</t>
  </si>
  <si>
    <t>JAMES O AND ALICE F COLE FOUNDATION INC</t>
  </si>
  <si>
    <t>35-1989581</t>
  </si>
  <si>
    <t>Po Box 536</t>
  </si>
  <si>
    <t>Peru</t>
  </si>
  <si>
    <t>NOVAK FAMILY FOUNDATION INC</t>
  </si>
  <si>
    <t>26-0177940</t>
  </si>
  <si>
    <t>8000 Madison St</t>
  </si>
  <si>
    <t>KLOEPFER FAMILY FOUNDATION INC</t>
  </si>
  <si>
    <t>27-5062027</t>
  </si>
  <si>
    <t>255 Lawnwood Dr</t>
  </si>
  <si>
    <t>Greenwood</t>
  </si>
  <si>
    <t>36-6076171</t>
  </si>
  <si>
    <t>321 W State St Ste 1300</t>
  </si>
  <si>
    <t>GEORGE FIRMENICH TRUST FUND 32-33262-9</t>
  </si>
  <si>
    <t>36-6790215</t>
  </si>
  <si>
    <t>231 S Lasalle St</t>
  </si>
  <si>
    <t xml:space="preserve">JOANN AND ROBERT GLICK FAMILYFOUNDATION                               </t>
  </si>
  <si>
    <t>20-4968468</t>
  </si>
  <si>
    <t>30801 Carter St</t>
  </si>
  <si>
    <t>% Robert A Glick</t>
  </si>
  <si>
    <t xml:space="preserve">CARRELLA FBO CATHOLIC CHARITIES NY                                    </t>
  </si>
  <si>
    <t>90-0346364</t>
  </si>
  <si>
    <t>PO Box 3038</t>
  </si>
  <si>
    <t>% Jpmorgan Chase Bank Na</t>
  </si>
  <si>
    <t>JOHN C LASKO FOUNDATION</t>
  </si>
  <si>
    <t>38-3440640</t>
  </si>
  <si>
    <t>PO Box 339</t>
  </si>
  <si>
    <t>MARGARET JANE STOKER CHARITABLE TR</t>
  </si>
  <si>
    <t>32-0000318</t>
  </si>
  <si>
    <t>WILSON SHEEHAN FOUNDATION</t>
  </si>
  <si>
    <t>32-6266976</t>
  </si>
  <si>
    <t>Po Box 3085</t>
  </si>
  <si>
    <t>FREEMAN FAMILY FUND</t>
  </si>
  <si>
    <t>36-7212973</t>
  </si>
  <si>
    <t>Suzanne Smelcer Robinson Foundation</t>
  </si>
  <si>
    <t>36-7207753</t>
  </si>
  <si>
    <t>Carroll J Haas Foundation</t>
  </si>
  <si>
    <t>38-3415066</t>
  </si>
  <si>
    <t>Mendon</t>
  </si>
  <si>
    <t>ANITA SANTOSH MEHRA FOUNDATION</t>
  </si>
  <si>
    <t>38-3638221</t>
  </si>
  <si>
    <t>1419 Burgundy Rd</t>
  </si>
  <si>
    <t>FRANCIS J VAN BORTEL AND DOROTHY GREEY VAN BORTEL FUND</t>
  </si>
  <si>
    <t>26-3389342</t>
  </si>
  <si>
    <t>FOUNDATION FOR APPALACHIAN OHIO</t>
  </si>
  <si>
    <t>31-1620483</t>
  </si>
  <si>
    <t>P.O. Box 456</t>
  </si>
  <si>
    <t>35 Public Square</t>
  </si>
  <si>
    <t>Nelsonville</t>
  </si>
  <si>
    <t>Joyce Foundation</t>
  </si>
  <si>
    <t>36-6079185</t>
  </si>
  <si>
    <t>321 N. Clark Street</t>
  </si>
  <si>
    <t>Suite 1500</t>
  </si>
  <si>
    <t>Gregory L Gibson Charitable Foundation Inc</t>
  </si>
  <si>
    <t>01-0852643</t>
  </si>
  <si>
    <t>3200 E Haythorne Ave</t>
  </si>
  <si>
    <t>Louis and Melba Schott Foundation</t>
  </si>
  <si>
    <t>20-2102454</t>
  </si>
  <si>
    <t>38 Fountain Square Pl</t>
  </si>
  <si>
    <t>J ROGERS BADGETT SR FOUNDATION INC</t>
  </si>
  <si>
    <t>31-1755149</t>
  </si>
  <si>
    <t>1822 N Main St Bldg A</t>
  </si>
  <si>
    <t>Madisonville</t>
  </si>
  <si>
    <t>Perrigo Company Charitable Foundation</t>
  </si>
  <si>
    <t>38-3553518</t>
  </si>
  <si>
    <t>515 Eastern Ave</t>
  </si>
  <si>
    <t>FISCHER FAM FOUNDATION 2008 CHARITA BLE TR</t>
  </si>
  <si>
    <t>38-6863779</t>
  </si>
  <si>
    <t>Po Box 17160</t>
  </si>
  <si>
    <t>Arthur Webster Jr Endowment Fund</t>
  </si>
  <si>
    <t>38-6825520</t>
  </si>
  <si>
    <t>JUDD LEIGHTON FOUNDATION INC</t>
  </si>
  <si>
    <t>35-2120550</t>
  </si>
  <si>
    <t>202 S Michigan St Ste 910</t>
  </si>
  <si>
    <t>Kennys Kids</t>
  </si>
  <si>
    <t>36-3977234</t>
  </si>
  <si>
    <t>William and Lisa Ford Foundation</t>
  </si>
  <si>
    <t>38-3441138</t>
  </si>
  <si>
    <t>1901 Saint Antoine St Fl 6</t>
  </si>
  <si>
    <t>MARIAN RENEE AND EDWARD SALTZBERG FOUNDATION</t>
  </si>
  <si>
    <t>01-0714710</t>
  </si>
  <si>
    <t>2617 Maple Ave</t>
  </si>
  <si>
    <t>Trott Family Foundation</t>
  </si>
  <si>
    <t>13-3919816</t>
  </si>
  <si>
    <t>Mary A &amp; Raymond F Kennedy Family Foundation</t>
  </si>
  <si>
    <t>20-2061966</t>
  </si>
  <si>
    <t>Joachim E Lay Charitable Private Foundation</t>
  </si>
  <si>
    <t>20-6996945</t>
  </si>
  <si>
    <t>Kirchdorfer Foundation Inc</t>
  </si>
  <si>
    <t>26-0583933</t>
  </si>
  <si>
    <t>Po Box 4969</t>
  </si>
  <si>
    <t>AUDREY J &amp; JOHN F STEINFELD CHARITABLE FOUNDATION</t>
  </si>
  <si>
    <t>26-6700084</t>
  </si>
  <si>
    <t>CAPRARO FAMILY FOUNDATION</t>
  </si>
  <si>
    <t>27-0863044</t>
  </si>
  <si>
    <t>2015 Spring Rd Ste 200</t>
  </si>
  <si>
    <t>LANS FOUNDATION</t>
  </si>
  <si>
    <t>33-1035017</t>
  </si>
  <si>
    <t>11164 Walton Dr</t>
  </si>
  <si>
    <t>Roscoe</t>
  </si>
  <si>
    <t>THE PAST PRESIDENTS FOUNDATION</t>
  </si>
  <si>
    <t>34-1963590</t>
  </si>
  <si>
    <t>950 Main Ave Ste 1100</t>
  </si>
  <si>
    <t>THE READING 1 FOUNDATION</t>
  </si>
  <si>
    <t>34-7129352</t>
  </si>
  <si>
    <t>2335 Delamere Dr</t>
  </si>
  <si>
    <t>FOGLIA FAMILY FOUNDATION</t>
  </si>
  <si>
    <t>36-3925857</t>
  </si>
  <si>
    <t>Florence F Leifheit Foundation</t>
  </si>
  <si>
    <t>36-4132886</t>
  </si>
  <si>
    <t>1921 W Altorfer Dr</t>
  </si>
  <si>
    <t>PAUL AND SUZANNE HANIFL FOUNDATION</t>
  </si>
  <si>
    <t>36-4334519</t>
  </si>
  <si>
    <t>HICKEY FAMILY FOUNDATION</t>
  </si>
  <si>
    <t>46-1476598</t>
  </si>
  <si>
    <t>141 W Jackson Blvd Ste 2250</t>
  </si>
  <si>
    <t>Wessel Family Foundation Inc</t>
  </si>
  <si>
    <t>55-0799320</t>
  </si>
  <si>
    <t>James A Holt Charitable Foundation Inc</t>
  </si>
  <si>
    <t>20-6351514</t>
  </si>
  <si>
    <t>Po Box 703</t>
  </si>
  <si>
    <t>John D &amp; Catherine T MacArthur Foundation</t>
  </si>
  <si>
    <t>23-7093598</t>
  </si>
  <si>
    <t>140 S Dearborn St Ste 1100</t>
  </si>
  <si>
    <t>Garatoni Family Foundation</t>
  </si>
  <si>
    <t>26-2866592</t>
  </si>
  <si>
    <t>4100 Edison Lakes Pkwy Ste 260</t>
  </si>
  <si>
    <t>Robert T Keeler Foundation</t>
  </si>
  <si>
    <t>31-1420552</t>
  </si>
  <si>
    <t>Joyce and Don Massey Family Foundation</t>
  </si>
  <si>
    <t>32-0021773</t>
  </si>
  <si>
    <t>294 S Main St</t>
  </si>
  <si>
    <t>Sandra L and Dennis B Haslinger Family Foundation Inc</t>
  </si>
  <si>
    <t>34-1848698</t>
  </si>
  <si>
    <t>2524 Ira Rd</t>
  </si>
  <si>
    <t>Lee Crutchfield Church Fund</t>
  </si>
  <si>
    <t>34-7168394</t>
  </si>
  <si>
    <t>Pasquinelli Family Foundation</t>
  </si>
  <si>
    <t>36-4157643</t>
  </si>
  <si>
    <t>207 E Ohio St Box 355</t>
  </si>
  <si>
    <t>JEFFRIS FAMILY FOUNDATION LTD</t>
  </si>
  <si>
    <t>39-1281879</t>
  </si>
  <si>
    <t>Po Box 1160</t>
  </si>
  <si>
    <t>DOOR COUNTY COMMUNITY FOUNDATION INC</t>
  </si>
  <si>
    <t>39-1980685</t>
  </si>
  <si>
    <t>PO Box 802</t>
  </si>
  <si>
    <t>LOVELL CHARITABLE FDN RES</t>
  </si>
  <si>
    <t>04-3555494</t>
  </si>
  <si>
    <t>EVERGREEN FOUNDATION INC</t>
  </si>
  <si>
    <t>06-1482180</t>
  </si>
  <si>
    <t>C/O George S Brownell</t>
  </si>
  <si>
    <t>EVERETT S BULKLEY CHARITABLE FOUNDATION</t>
  </si>
  <si>
    <t>06-6332021</t>
  </si>
  <si>
    <t>GUTMAN FAMILY FOUNDATION</t>
  </si>
  <si>
    <t>13-3936473</t>
  </si>
  <si>
    <t>53 Sycamore Pl</t>
  </si>
  <si>
    <t>EDITH AND ETHEL JARDINE FAMILY TRUST</t>
  </si>
  <si>
    <t>13-7119500</t>
  </si>
  <si>
    <t>ROSE P LISHNER PRIVATE FOUNDATION 40-625176215483</t>
  </si>
  <si>
    <t>13-7579997</t>
  </si>
  <si>
    <t>MAHOGANY FOUNDATION</t>
  </si>
  <si>
    <t>20-0126179</t>
  </si>
  <si>
    <t>2533 Carroll Rd</t>
  </si>
  <si>
    <t>HUEN FOUNDATION INC</t>
  </si>
  <si>
    <t>20-0196993</t>
  </si>
  <si>
    <t>3 Oak Brook Club Dr Apt E205</t>
  </si>
  <si>
    <t>LORI AND RICK ROSMANN FOUNDATION</t>
  </si>
  <si>
    <t>20-0371998</t>
  </si>
  <si>
    <t>9160 N Rexleigh Dr</t>
  </si>
  <si>
    <t>Bayside</t>
  </si>
  <si>
    <t>CASE ALUMNI FOUNDATION</t>
  </si>
  <si>
    <t>20-0401095</t>
  </si>
  <si>
    <t>10900 Euclid Ave</t>
  </si>
  <si>
    <t>WEIKART FAMILY FOUNDATION</t>
  </si>
  <si>
    <t>20-0456632</t>
  </si>
  <si>
    <t>Po Box 622</t>
  </si>
  <si>
    <t>HYMAN AND BESSIE PASSMAN FAMILY CHARITABLE FOUNDATION INC</t>
  </si>
  <si>
    <t>20-0657086</t>
  </si>
  <si>
    <t>4695 Lake Forest Dr Ste 300</t>
  </si>
  <si>
    <t>Blue Ash</t>
  </si>
  <si>
    <t>VANA FAMILY FOUNDATION</t>
  </si>
  <si>
    <t>20-1356963</t>
  </si>
  <si>
    <t>164 West Avenue No 139</t>
  </si>
  <si>
    <t>Tallmadge</t>
  </si>
  <si>
    <t>CARDINAL PROPERTIES INC</t>
  </si>
  <si>
    <t>20-1872207</t>
  </si>
  <si>
    <t>Po Box 672</t>
  </si>
  <si>
    <t>CREECH FAMILY FOUNDATION INC</t>
  </si>
  <si>
    <t>20-1921959</t>
  </si>
  <si>
    <t>4100 Heraldry Ct</t>
  </si>
  <si>
    <t>BEHR FOUNDATION</t>
  </si>
  <si>
    <t>20-1965900</t>
  </si>
  <si>
    <t>1100 Seminary St</t>
  </si>
  <si>
    <t>FOREN FAMILY FOUNDATION</t>
  </si>
  <si>
    <t>20-2766137</t>
  </si>
  <si>
    <t>33 Bloomfield Hills Pkwy</t>
  </si>
  <si>
    <t>ROBERT AND CONNIE DELANEY FOUNDATION</t>
  </si>
  <si>
    <t>20-3275963</t>
  </si>
  <si>
    <t>NEELS FAMILY FOUNDATION INC</t>
  </si>
  <si>
    <t>20-3280615</t>
  </si>
  <si>
    <t>264 Red Oak Ln</t>
  </si>
  <si>
    <t>DONALD R AND ESTHER SIMON FOUNDATION</t>
  </si>
  <si>
    <t>20-3651333</t>
  </si>
  <si>
    <t>6318 Ramwyck Ct</t>
  </si>
  <si>
    <t>VARHEGYI FOUNDATION</t>
  </si>
  <si>
    <t>20-3979318</t>
  </si>
  <si>
    <t>855 Touhy Ave</t>
  </si>
  <si>
    <t>BROWN TASSELL FOUNDATION</t>
  </si>
  <si>
    <t>20-4012877</t>
  </si>
  <si>
    <t>2353 Cascade Lakes Cir Se</t>
  </si>
  <si>
    <t>BLOCK FOUNDATION</t>
  </si>
  <si>
    <t>20-5848397</t>
  </si>
  <si>
    <t>508 Gardner St</t>
  </si>
  <si>
    <t>Northville</t>
  </si>
  <si>
    <t>DANIEL AND SHARON BOWEN FOUNDATION</t>
  </si>
  <si>
    <t>20-5984891</t>
  </si>
  <si>
    <t>2280 Mission Hills Dr Se</t>
  </si>
  <si>
    <t>CROSSROADS FOUNDATION SUNSHINE BROOKS PERMANENT FUND ENDOWMENT TR</t>
  </si>
  <si>
    <t>20-6076808</t>
  </si>
  <si>
    <t>SKAGGS FOUNDATION FOR RESEARCH</t>
  </si>
  <si>
    <t>20-7399767</t>
  </si>
  <si>
    <t>MARY J BRUMMER TR</t>
  </si>
  <si>
    <t>20-7016175</t>
  </si>
  <si>
    <t>100 W Washington St</t>
  </si>
  <si>
    <t>Newton</t>
  </si>
  <si>
    <t>VERA Z DWYER CHARITABLE TRUST</t>
  </si>
  <si>
    <t>20-8042109</t>
  </si>
  <si>
    <t>4045 Edison Lakes Parkway No 100</t>
  </si>
  <si>
    <t>LCS FOUNDATION</t>
  </si>
  <si>
    <t>20-8050521</t>
  </si>
  <si>
    <t>9915 Mistymorn Ln</t>
  </si>
  <si>
    <t>COMMUNITY HEALTH FOUNDATION OF WARREN AND HENDERSON COUNTIES</t>
  </si>
  <si>
    <t>20-8070870</t>
  </si>
  <si>
    <t>717 North 11th Street</t>
  </si>
  <si>
    <t>Monmouth</t>
  </si>
  <si>
    <t>CLACK FOUNDATION INC</t>
  </si>
  <si>
    <t>20-8080870</t>
  </si>
  <si>
    <t>6679 Highland Dr</t>
  </si>
  <si>
    <t>MARSHALL COMMUNITY FOUNDATION</t>
  </si>
  <si>
    <t>23-7011281</t>
  </si>
  <si>
    <t>614 Homer Road</t>
  </si>
  <si>
    <t>Marshall</t>
  </si>
  <si>
    <t>SCHWARTZ MEMORIAL FOUNDATION TRUST</t>
  </si>
  <si>
    <t>23-7075494</t>
  </si>
  <si>
    <t>Community Foundation of East Central Illinois</t>
  </si>
  <si>
    <t>23-7176723</t>
  </si>
  <si>
    <t>307 W University Ave</t>
  </si>
  <si>
    <t>MARGARET M WALKER CHARITABLE FOUNDATION</t>
  </si>
  <si>
    <t>25-1790413</t>
  </si>
  <si>
    <t>C/O Farmers Trust Co 42 Mcclurg R</t>
  </si>
  <si>
    <t xml:space="preserve">JR ALBERT CHARITABLE FOUNDATION                                       </t>
  </si>
  <si>
    <t>26-0147405</t>
  </si>
  <si>
    <t>55 S Main St</t>
  </si>
  <si>
    <t>suite 307</t>
  </si>
  <si>
    <t>ROSE AND LAWRENCE C PAGE SR FAMILY CHARITABLE FOUNDATION</t>
  </si>
  <si>
    <t>26-0367507</t>
  </si>
  <si>
    <t>C/O Mr David C Stone Bodman Llp</t>
  </si>
  <si>
    <t>MARTIN AND PATRICIA JAHN FOUNDATION</t>
  </si>
  <si>
    <t>26-0411725</t>
  </si>
  <si>
    <t>134 Dragonfly</t>
  </si>
  <si>
    <t>JMJ FOUNDATION</t>
  </si>
  <si>
    <t>26-0702760</t>
  </si>
  <si>
    <t>51 Peartree Ln Ne</t>
  </si>
  <si>
    <t>TIM AND KARLA FELTES FAMILY FOUNDATION</t>
  </si>
  <si>
    <t>26-1115240</t>
  </si>
  <si>
    <t>1207 N West St</t>
  </si>
  <si>
    <t>DORSAY</t>
  </si>
  <si>
    <t>26-1192927</t>
  </si>
  <si>
    <t>207 N Franklin St</t>
  </si>
  <si>
    <t>Mt Pleasant</t>
  </si>
  <si>
    <t>JOSE G DUARTE SCHOLARSHIP FOUNDATION</t>
  </si>
  <si>
    <t>26-1222662</t>
  </si>
  <si>
    <t>10050 Innovation Drive No 400</t>
  </si>
  <si>
    <t>VENTANA CHARITABLE FOUNDATION</t>
  </si>
  <si>
    <t>26-1224721</t>
  </si>
  <si>
    <t>77 E Walton Street</t>
  </si>
  <si>
    <t>CHUCK AND DEE HOWEY FAMILY FOUNDATION</t>
  </si>
  <si>
    <t>26-1480132</t>
  </si>
  <si>
    <t>23933 Vreeland Rd</t>
  </si>
  <si>
    <t>Flat Rock</t>
  </si>
  <si>
    <t>BRUBAKER FAMILY FOUNDATION</t>
  </si>
  <si>
    <t>26-1512946</t>
  </si>
  <si>
    <t>3470 Parfoure Blvd</t>
  </si>
  <si>
    <t>Uniontown</t>
  </si>
  <si>
    <t>SAM AND MARY PALUMBO FAMILY FOUNDATION</t>
  </si>
  <si>
    <t>26-1553720</t>
  </si>
  <si>
    <t>321 Center St</t>
  </si>
  <si>
    <t>CHERCHIAN FAMILY FOUNDATION INC</t>
  </si>
  <si>
    <t>26-1583157</t>
  </si>
  <si>
    <t>3100 Nagawicka Rd</t>
  </si>
  <si>
    <t>Hartland</t>
  </si>
  <si>
    <t>BLUE FOUNDATION</t>
  </si>
  <si>
    <t>26-1919507</t>
  </si>
  <si>
    <t>5 S Wabash Ave Ste 2110</t>
  </si>
  <si>
    <t>TARPO FAMILY FOUNDATION</t>
  </si>
  <si>
    <t>26-1999482</t>
  </si>
  <si>
    <t>Robert T Napier 333 W Wacker Drive</t>
  </si>
  <si>
    <t>LYCHE FAMILY FOUNDATION INC</t>
  </si>
  <si>
    <t>26-2410775</t>
  </si>
  <si>
    <t>1820 Ironwood Pl</t>
  </si>
  <si>
    <t>Onalaska</t>
  </si>
  <si>
    <t>BILL DEPUTY FOUNDATION</t>
  </si>
  <si>
    <t>26-2480796</t>
  </si>
  <si>
    <t>4200 Middlebury St</t>
  </si>
  <si>
    <t>DANCING SKIES FOUNDATION</t>
  </si>
  <si>
    <t>26-3286007</t>
  </si>
  <si>
    <t>134 N Lasalle Street No 1050</t>
  </si>
  <si>
    <t>BARUCH FOUNDATION</t>
  </si>
  <si>
    <t>26-3608984</t>
  </si>
  <si>
    <t>1000 N Lake Shore Plaza</t>
  </si>
  <si>
    <t>FOREST FUND INC</t>
  </si>
  <si>
    <t>26-3922724</t>
  </si>
  <si>
    <t>36 S Pennsylvania St Ste 200</t>
  </si>
  <si>
    <t>WO AND LOIS NEWELL CHARITABLE TRUST</t>
  </si>
  <si>
    <t>26-3939254</t>
  </si>
  <si>
    <t>107 S Main St</t>
  </si>
  <si>
    <t>Somerset</t>
  </si>
  <si>
    <t>RETTIG FOUNDATION</t>
  </si>
  <si>
    <t>26-4000796</t>
  </si>
  <si>
    <t>7700 Hartfield Pl</t>
  </si>
  <si>
    <t>Montgomery</t>
  </si>
  <si>
    <t>GRAMIE JEAN FOUNDATION INC</t>
  </si>
  <si>
    <t>26-4474515</t>
  </si>
  <si>
    <t>3555 Moser St</t>
  </si>
  <si>
    <t>Oshkosh</t>
  </si>
  <si>
    <t>TS &amp; JUANITA BALLANCE FOUNDATION</t>
  </si>
  <si>
    <t>26-4741427</t>
  </si>
  <si>
    <t>132 S Water St Ste 300</t>
  </si>
  <si>
    <t>BERNICE SHANKE GREIVELDINGER CHARITABLE TR</t>
  </si>
  <si>
    <t>26-6797024</t>
  </si>
  <si>
    <t>900 Lake Ave</t>
  </si>
  <si>
    <t>MARY JANE BROOKS CHARITABLE TRUST</t>
  </si>
  <si>
    <t>27-1018187</t>
  </si>
  <si>
    <t>Po Box 39</t>
  </si>
  <si>
    <t>Steubenville</t>
  </si>
  <si>
    <t>ALENA FOUNDATION</t>
  </si>
  <si>
    <t>27-1059467</t>
  </si>
  <si>
    <t>BENNIE C WICKENS FOUNDATION INC</t>
  </si>
  <si>
    <t>27-1076561</t>
  </si>
  <si>
    <t>2510 Kerry St Ste 102</t>
  </si>
  <si>
    <t>VENNER FAMILY FOUNDATION</t>
  </si>
  <si>
    <t>27-1272999</t>
  </si>
  <si>
    <t>507 Red Rock Dr</t>
  </si>
  <si>
    <t>COUNTRY BORN FOUNDATION</t>
  </si>
  <si>
    <t>27-1306180</t>
  </si>
  <si>
    <t>3018 Ragged Ridge Rd</t>
  </si>
  <si>
    <t>GILMORE FOUNDATION</t>
  </si>
  <si>
    <t>27-1400179</t>
  </si>
  <si>
    <t>416 Main St Ste 1125</t>
  </si>
  <si>
    <t>ELI AND PAULINE NIERMAN FAMILY FOUNDATION</t>
  </si>
  <si>
    <t>27-2476453</t>
  </si>
  <si>
    <t>209 Pine Tree Ln</t>
  </si>
  <si>
    <t>La Grange Pk</t>
  </si>
  <si>
    <t>GERALD O MANN CHARITABLE FOUNDATION</t>
  </si>
  <si>
    <t>27-2982177</t>
  </si>
  <si>
    <t>2335 Exmoor Ave</t>
  </si>
  <si>
    <t>J&amp;S LAIDIG FAMILY FOUNDATION INC</t>
  </si>
  <si>
    <t>27-3191498</t>
  </si>
  <si>
    <t>WILSIE LUCILLE FOUNDATION</t>
  </si>
  <si>
    <t>27-3934002</t>
  </si>
  <si>
    <t>RICHARD &amp; EVE BILLER FAMILY FOUNDATION</t>
  </si>
  <si>
    <t>27-3959964</t>
  </si>
  <si>
    <t>28 Edgewood Ct</t>
  </si>
  <si>
    <t>OMALEY FAMILY FOUNDATION</t>
  </si>
  <si>
    <t>27-4176744</t>
  </si>
  <si>
    <t>4536 Airport Rd</t>
  </si>
  <si>
    <t>KOCH FAMILY FOUNDATION</t>
  </si>
  <si>
    <t>27-4274285</t>
  </si>
  <si>
    <t>30 N La Salle St Ste 2610</t>
  </si>
  <si>
    <t>ROBERT &amp; TONI BADER CHARITABLE FOUNDATION INC</t>
  </si>
  <si>
    <t>27-4281614</t>
  </si>
  <si>
    <t>5262 Roland Dr</t>
  </si>
  <si>
    <t>TIM &amp; KAY FINCH FOUNDATION INC</t>
  </si>
  <si>
    <t>27-4361674</t>
  </si>
  <si>
    <t>PENSKE FOUNDATION INC</t>
  </si>
  <si>
    <t>27-4648290</t>
  </si>
  <si>
    <t>2555 S Telegraph Rd</t>
  </si>
  <si>
    <t>OSHLAG STUCKEY FOUNDATION</t>
  </si>
  <si>
    <t>27-6410285</t>
  </si>
  <si>
    <t>EBENEZER CHARITABLE TR DATED NOVEMBER 24 2010</t>
  </si>
  <si>
    <t>27-6932920</t>
  </si>
  <si>
    <t>76 N Mulberry St</t>
  </si>
  <si>
    <t>CASCADIA FOUNDATION</t>
  </si>
  <si>
    <t>30-0006469</t>
  </si>
  <si>
    <t>136 East Michigan Avenue Suite 120</t>
  </si>
  <si>
    <t>EDWARD AND JUNE KELLOGG FOUNDATION INC</t>
  </si>
  <si>
    <t>30-0057241</t>
  </si>
  <si>
    <t>1250 Byron Rd</t>
  </si>
  <si>
    <t>SULEIMAN FOUNDATION</t>
  </si>
  <si>
    <t>30-0211566</t>
  </si>
  <si>
    <t>42627 Woodwind Ln</t>
  </si>
  <si>
    <t>WILDA C TIFFANY CHARITABLE TR</t>
  </si>
  <si>
    <t>30-6092098</t>
  </si>
  <si>
    <t>229 Wellington St</t>
  </si>
  <si>
    <t>DAYTON FOUNDATION DEPOSITORY</t>
  </si>
  <si>
    <t>31-1044298</t>
  </si>
  <si>
    <t>GEORGE EDWARD DURELL FOUNDATION</t>
  </si>
  <si>
    <t>31-1111800</t>
  </si>
  <si>
    <t>128 County Line Rd Ste D</t>
  </si>
  <si>
    <t>Westerville</t>
  </si>
  <si>
    <t>THE COMMUNITY FOUNDATIO OF LOUISVILLE DEPOSITORY INC</t>
  </si>
  <si>
    <t>31-1140889</t>
  </si>
  <si>
    <t>COMMUNITY FOUNDATIONS INC</t>
  </si>
  <si>
    <t>31-1197385</t>
  </si>
  <si>
    <t>JOHN H MCCONNELL FOUNDATION</t>
  </si>
  <si>
    <t>31-1253999</t>
  </si>
  <si>
    <t>JAMES A AND KATHLEEN C RUTHERFORD FOUNDATION</t>
  </si>
  <si>
    <t>31-1445233</t>
  </si>
  <si>
    <t>Jewish Foundation of Cincinnati</t>
  </si>
  <si>
    <t>31-1451489</t>
  </si>
  <si>
    <t>8044 Montgomery Road</t>
  </si>
  <si>
    <t>Suite 700</t>
  </si>
  <si>
    <t>JOHN J AND PAULINE GERLACH FOUNDATION</t>
  </si>
  <si>
    <t>31-1453633</t>
  </si>
  <si>
    <t>S E C CHARITABLE CORP</t>
  </si>
  <si>
    <t>31-1529509</t>
  </si>
  <si>
    <t>1041 Catawba Valley Dr</t>
  </si>
  <si>
    <t>GRIMM FAMILY FOUNDATION</t>
  </si>
  <si>
    <t>31-1532275</t>
  </si>
  <si>
    <t>2675 Som Center Rd</t>
  </si>
  <si>
    <t>Chagrin Falls</t>
  </si>
  <si>
    <t>THE RICHARD AND MARCY HORVITZ FOUNDATION</t>
  </si>
  <si>
    <t>31-1533634</t>
  </si>
  <si>
    <t>6095 Parkland Blvd Ste 300</t>
  </si>
  <si>
    <t>Mayfield Hts</t>
  </si>
  <si>
    <t>TOWERING PINES FOUNDATION</t>
  </si>
  <si>
    <t>31-1534802</t>
  </si>
  <si>
    <t>4 Seagate Fl 8</t>
  </si>
  <si>
    <t>THE GLENN M WEAVER FOUNDATION</t>
  </si>
  <si>
    <t>31-1534961</t>
  </si>
  <si>
    <t>JEANANN GRAY DUNLAP FOUNDATION</t>
  </si>
  <si>
    <t>31-1544745</t>
  </si>
  <si>
    <t>8050 Hosbrook Rd Ste 102</t>
  </si>
  <si>
    <t>THE ABUNDANT LIFE FOUNDATION</t>
  </si>
  <si>
    <t>31-1562299</t>
  </si>
  <si>
    <t>3777 West Fork Road</t>
  </si>
  <si>
    <t>KELLEY FAMILY FOUNDATION</t>
  </si>
  <si>
    <t>31-1614563</t>
  </si>
  <si>
    <t>257 E Broad St</t>
  </si>
  <si>
    <t>VERA AND IMRE HECHT FOUNDATION INC</t>
  </si>
  <si>
    <t>31-1652204</t>
  </si>
  <si>
    <t>ENGLEFIELD FOUNDATION</t>
  </si>
  <si>
    <t>31-1657317</t>
  </si>
  <si>
    <t>447 James Pkwy</t>
  </si>
  <si>
    <t>Heath</t>
  </si>
  <si>
    <t>CLAIRE ADAIR HENDRICKSON FDN INC</t>
  </si>
  <si>
    <t>31-1677017</t>
  </si>
  <si>
    <t>JOHN &amp; JENNIFER WARD FAMILY FOUNDATION INC</t>
  </si>
  <si>
    <t>31-1721640</t>
  </si>
  <si>
    <t>7400 Algonquin Dr</t>
  </si>
  <si>
    <t>ERNEST S AND SALLY A MICEK FAMILY FOUNDATION</t>
  </si>
  <si>
    <t>31-1723426</t>
  </si>
  <si>
    <t>161 E Chicago Ave Apt 40c</t>
  </si>
  <si>
    <t>PRATIMA N SHAH FAMILY FOUNDATION</t>
  </si>
  <si>
    <t>31-1809141</t>
  </si>
  <si>
    <t>300 S Wacker Dr</t>
  </si>
  <si>
    <t>SCHIEWETZ FOUNDATION INC</t>
  </si>
  <si>
    <t>31-1812245</t>
  </si>
  <si>
    <t>3110 Kettering Blvd</t>
  </si>
  <si>
    <t>Moraine</t>
  </si>
  <si>
    <t>GERTRUDE S GORDON PRIVATE FOUNDATION</t>
  </si>
  <si>
    <t>31-6672080</t>
  </si>
  <si>
    <t>C/O Trust Point Inc</t>
  </si>
  <si>
    <t>ANSCHEL EILIAN FAMILY CHARITABLE FOUNDATION</t>
  </si>
  <si>
    <t>32-0002986</t>
  </si>
  <si>
    <t>3470 N Lake Shore Dr Ste 27th Fl</t>
  </si>
  <si>
    <t>GREGORY C VAN WIE CHARITABLE FOUNDATION INC</t>
  </si>
  <si>
    <t>39-1822927</t>
  </si>
  <si>
    <t>33 E Main Street</t>
  </si>
  <si>
    <t>GEIGER FAMILY FOUNDATION INC</t>
  </si>
  <si>
    <t>39-1892888</t>
  </si>
  <si>
    <t>111 E Wisconsin Ave Ste 1800</t>
  </si>
  <si>
    <t>David G and Nancy B Walsh Family Foundation</t>
  </si>
  <si>
    <t>39-1914595</t>
  </si>
  <si>
    <t>OTZEN FAMILY FOUNDATION INC</t>
  </si>
  <si>
    <t>39-1919852</t>
  </si>
  <si>
    <t>FLOWERS FAMILY FOUNDATION INC</t>
  </si>
  <si>
    <t>39-1947789</t>
  </si>
  <si>
    <t>1021 Cottonwood Drive No 308</t>
  </si>
  <si>
    <t>KENOSHA COMMUNITY FOUNDATION</t>
  </si>
  <si>
    <t>39-6045289</t>
  </si>
  <si>
    <t>600 52nd St</t>
  </si>
  <si>
    <t>Kenosha</t>
  </si>
  <si>
    <t>WISCONSIN PUBLIC SERVICE FOUNDATION INC</t>
  </si>
  <si>
    <t>39-6075016</t>
  </si>
  <si>
    <t>Po Box 19001</t>
  </si>
  <si>
    <t>FORT ATKINSON COMMUNITY FOUNDATION</t>
  </si>
  <si>
    <t>39-6220899</t>
  </si>
  <si>
    <t>Po Box 218</t>
  </si>
  <si>
    <t>Fort Atkinson</t>
  </si>
  <si>
    <t>LILLIAN F WALLACE CHAR TRUST 566090</t>
  </si>
  <si>
    <t>41-6314876</t>
  </si>
  <si>
    <t>GERTRUDE R SHIELY CHAR TR</t>
  </si>
  <si>
    <t>41-6470775</t>
  </si>
  <si>
    <t>TEAM BROWN FOUNDATION INC</t>
  </si>
  <si>
    <t>42-1594267</t>
  </si>
  <si>
    <t>DUGDALE CHARITABLE TEST TR</t>
  </si>
  <si>
    <t>42-6520405</t>
  </si>
  <si>
    <t>CHARLES FOUNDATION TR 06291998</t>
  </si>
  <si>
    <t>43-6801942</t>
  </si>
  <si>
    <t>TAKE HIS HAND FOUNDATION</t>
  </si>
  <si>
    <t>45-1597938</t>
  </si>
  <si>
    <t>640 Manhattan Rd Se</t>
  </si>
  <si>
    <t>DAVID &amp; MARY ANDERSON FAMILY FOUNDATION INC</t>
  </si>
  <si>
    <t>45-1844915</t>
  </si>
  <si>
    <t>2525 Middleton Beach Rd</t>
  </si>
  <si>
    <t>LIONS PRIDE ENDOWMENT FUND INC</t>
  </si>
  <si>
    <t>45-2035351</t>
  </si>
  <si>
    <t>3834 County Road A</t>
  </si>
  <si>
    <t>Rosholt</t>
  </si>
  <si>
    <t>HILDEGARD O NEHRING FOUNDATION</t>
  </si>
  <si>
    <t>45-2783501</t>
  </si>
  <si>
    <t>6055 Rockside Woods Boulevard</t>
  </si>
  <si>
    <t>Independence</t>
  </si>
  <si>
    <t>MARION PARK FOUNDATION</t>
  </si>
  <si>
    <t>45-2846510</t>
  </si>
  <si>
    <t>3631 Brookside Dr</t>
  </si>
  <si>
    <t>JAMES C TYREE CHARITABLE FOUNDATION</t>
  </si>
  <si>
    <t>45-3089917</t>
  </si>
  <si>
    <t>525 W Monroe St Ste 1900</t>
  </si>
  <si>
    <t>HENRY AND SARA SHEEHAN FOUNDATION</t>
  </si>
  <si>
    <t>45-4126770</t>
  </si>
  <si>
    <t>310 N Kensington Ave</t>
  </si>
  <si>
    <t>HUBBARD FAMILY FOUNDATION INC</t>
  </si>
  <si>
    <t>45-4264552</t>
  </si>
  <si>
    <t>101 W Ohio St Ste 1350</t>
  </si>
  <si>
    <t>CHUCK AND MONICA MCQUAID FAMILY FOUNDATION</t>
  </si>
  <si>
    <t>45-6540620</t>
  </si>
  <si>
    <t>1341 Turvey Rd</t>
  </si>
  <si>
    <t>HARRY AND HELENA MESSICK CHARITABLE TR</t>
  </si>
  <si>
    <t>45-6676247</t>
  </si>
  <si>
    <t>WILLIAM M NECKERMAN CHARITABLE FOUNDATION</t>
  </si>
  <si>
    <t>45-6830857</t>
  </si>
  <si>
    <t>42 Mcclurg Road</t>
  </si>
  <si>
    <t>PAUL W AND ROSE SUCHOVSKY CHARITABLE TR DATED 3-7-2012</t>
  </si>
  <si>
    <t>45-6831625</t>
  </si>
  <si>
    <t>WAGLER FOUNDATION</t>
  </si>
  <si>
    <t>46-0829253</t>
  </si>
  <si>
    <t>3700 Tabs Dr</t>
  </si>
  <si>
    <t>CATCH THE DREAM FOUNDATION</t>
  </si>
  <si>
    <t>46-0848195</t>
  </si>
  <si>
    <t>MAGIC PEBBLE FOUNDATION INC</t>
  </si>
  <si>
    <t>46-1386584</t>
  </si>
  <si>
    <t>2901 W Beltline Hwy Ste 201</t>
  </si>
  <si>
    <t>SOLSO FAMILY FOUNDATION INC</t>
  </si>
  <si>
    <t>46-3941572</t>
  </si>
  <si>
    <t>1 N Illinois St Apt 2202</t>
  </si>
  <si>
    <t>DOSSIE ISAACSON RESIDUARY TR 58002010</t>
  </si>
  <si>
    <t>47-6123087</t>
  </si>
  <si>
    <t>WEARY FAMILY FOUNDATION</t>
  </si>
  <si>
    <t>48-1224093</t>
  </si>
  <si>
    <t>C/O Gifford Weary</t>
  </si>
  <si>
    <t>PAUL AND PATRICIA TAYLOR FAM FOUNDATION</t>
  </si>
  <si>
    <t>48-1269165</t>
  </si>
  <si>
    <t>PRIORITY FOUNDATION INC</t>
  </si>
  <si>
    <t>51-0438834</t>
  </si>
  <si>
    <t>W4315 Drectrah Rd</t>
  </si>
  <si>
    <t>SAMUEL J HICKS UNITRUST UA 010194</t>
  </si>
  <si>
    <t>59-7039374</t>
  </si>
  <si>
    <t>HONORABLE ORDER OF KENTUCKY COLONELS INC</t>
  </si>
  <si>
    <t>61-0485432</t>
  </si>
  <si>
    <t>1717 Alliant Ave</t>
  </si>
  <si>
    <t>Ste 14</t>
  </si>
  <si>
    <t>LYNDON AND HELEN M SCHMID CHARITABLE FOUNDATION INC</t>
  </si>
  <si>
    <t>61-1349891</t>
  </si>
  <si>
    <t>2225 Lexington Rd</t>
  </si>
  <si>
    <t>LIFT A LIFE FOUNDATION INC</t>
  </si>
  <si>
    <t>61-1359337</t>
  </si>
  <si>
    <t>5885 Landerbrook Dr Ste 300</t>
  </si>
  <si>
    <t>BARR FOUNDATION INC</t>
  </si>
  <si>
    <t>61-1361347</t>
  </si>
  <si>
    <t>9900 Corporate Campus Dr Ste 2100</t>
  </si>
  <si>
    <t>GLEN FRIEDA AND JOHN WELLS EDUCATION FUND</t>
  </si>
  <si>
    <t>61-1362784</t>
  </si>
  <si>
    <t>Po Box 70</t>
  </si>
  <si>
    <t>GEBHARDT FOUNDATION INC</t>
  </si>
  <si>
    <t>65-1059870</t>
  </si>
  <si>
    <t xml:space="preserve">COMERICA CHARITABLE TR                                                </t>
  </si>
  <si>
    <t>65-1259308</t>
  </si>
  <si>
    <t>101 N Main St Ste 100</t>
  </si>
  <si>
    <t>THE ITTO A WILLITS CHARITABLE FOUNDATION</t>
  </si>
  <si>
    <t>65-6235199</t>
  </si>
  <si>
    <t>Bmo Harris Bank Na</t>
  </si>
  <si>
    <t>STERLING FAMILY FOUNDATION</t>
  </si>
  <si>
    <t>75-3088351</t>
  </si>
  <si>
    <t>2000 Beaver Place Ave Sw</t>
  </si>
  <si>
    <t>JOHN AND FLORENCE GANDY FOUNDATION</t>
  </si>
  <si>
    <t>77-0687226</t>
  </si>
  <si>
    <t>16276 Long Judson Rd</t>
  </si>
  <si>
    <t>ANDY L AND LEONE SHELDON CHARITABLE TR</t>
  </si>
  <si>
    <t>77-6226019</t>
  </si>
  <si>
    <t>RICHARD A BARONE CHARITABLE FOUNDATION</t>
  </si>
  <si>
    <t>80-0306290</t>
  </si>
  <si>
    <t>2000 Auburn Drive</t>
  </si>
  <si>
    <t>CHARIS FOUNDATION INC</t>
  </si>
  <si>
    <t>80-0316970</t>
  </si>
  <si>
    <t>11801 Browning Rd</t>
  </si>
  <si>
    <t>ODONNELL FAMILY CHARITABLE FOUNDATION</t>
  </si>
  <si>
    <t>81-0574559</t>
  </si>
  <si>
    <t>6447 Race Rd Nw</t>
  </si>
  <si>
    <t>Strasburg</t>
  </si>
  <si>
    <t>WILHELMINE RATERMANN CHARITABLE REMAINDERR UNITRUST 04182001</t>
  </si>
  <si>
    <t>33-6328095</t>
  </si>
  <si>
    <t>Po Box 640</t>
  </si>
  <si>
    <t>GOOD SHEPHERD FOUNDATION</t>
  </si>
  <si>
    <t>34-1590049</t>
  </si>
  <si>
    <t>500 W Wilson Bridge Rd Ste 245</t>
  </si>
  <si>
    <t>Worthington</t>
  </si>
  <si>
    <t>SEBRING-WEST BRANCH AREA COMMUNITY FOUNDATION</t>
  </si>
  <si>
    <t>34-1665333</t>
  </si>
  <si>
    <t>Po Box 176</t>
  </si>
  <si>
    <t>Sebring</t>
  </si>
  <si>
    <t>B CHARLES AND JAY G AMES FOUNDATION</t>
  </si>
  <si>
    <t>34-1809978</t>
  </si>
  <si>
    <t>ASHLAND COUNTY COMMUNITY FOUNDATION</t>
  </si>
  <si>
    <t>34-1812908</t>
  </si>
  <si>
    <t>300 College Ave</t>
  </si>
  <si>
    <t>Ashland</t>
  </si>
  <si>
    <t>SAND FAIR FOUNDATION</t>
  </si>
  <si>
    <t>34-1815135</t>
  </si>
  <si>
    <t>32400 Fairmount Blvd</t>
  </si>
  <si>
    <t>CAROL &amp; CHARLES A RINI SR FAMILY FOUNDATION</t>
  </si>
  <si>
    <t>34-1847507</t>
  </si>
  <si>
    <t>924 Westpoint Pkwy</t>
  </si>
  <si>
    <t>Westlake</t>
  </si>
  <si>
    <t>TWENTY-FIRST CENTURY FOUNDATION</t>
  </si>
  <si>
    <t>34-1852806</t>
  </si>
  <si>
    <t>Po Box 543</t>
  </si>
  <si>
    <t>RYAN FAMILY FOUNDAION</t>
  </si>
  <si>
    <t>34-1881438</t>
  </si>
  <si>
    <t>624 Tamarac Trl</t>
  </si>
  <si>
    <t>FREDRIC AND LUNDY REYNOLDS FAMILY FOUNDATION</t>
  </si>
  <si>
    <t>34-1953315</t>
  </si>
  <si>
    <t>Chagrin Corporate Center 20820</t>
  </si>
  <si>
    <t>KRAAK CHARITABLE FOUNDATION</t>
  </si>
  <si>
    <t>34-1960643</t>
  </si>
  <si>
    <t>250 W Main St</t>
  </si>
  <si>
    <t>Bellevue</t>
  </si>
  <si>
    <t>Kosciusko 21St Century Foundation, Inc.</t>
  </si>
  <si>
    <t>35-1187105</t>
  </si>
  <si>
    <t>PO Box 1810</t>
  </si>
  <si>
    <t>COMMUNITY FOUNDATION OF BLOOMINGTON AND MONROE COUNTY INC</t>
  </si>
  <si>
    <t>35-1811149</t>
  </si>
  <si>
    <t>101 W. Kirkwood Ave., Ste. 321</t>
  </si>
  <si>
    <t>HUNTINGTON COUNTY COMMUNITY FOUNDATION INC</t>
  </si>
  <si>
    <t>35-1838709</t>
  </si>
  <si>
    <t>356 W Park Dr</t>
  </si>
  <si>
    <t>Huntington</t>
  </si>
  <si>
    <t>Harrison County Community Foundation Inc</t>
  </si>
  <si>
    <t>35-1986569</t>
  </si>
  <si>
    <t>PO Box 279</t>
  </si>
  <si>
    <t>Corydon</t>
  </si>
  <si>
    <t>ROY WHISTLER FOUNDATION INC</t>
  </si>
  <si>
    <t>35-2007510</t>
  </si>
  <si>
    <t>Po Box 469</t>
  </si>
  <si>
    <t>CARL M REEVES AND MILDRED A REEVES FOUNDATION INC</t>
  </si>
  <si>
    <t>35-2026200</t>
  </si>
  <si>
    <t>3435 Duffer Dr</t>
  </si>
  <si>
    <t>MITTLER FAMILY FOUNDATION INC</t>
  </si>
  <si>
    <t>35-2049611</t>
  </si>
  <si>
    <t>Po Box 2946</t>
  </si>
  <si>
    <t>Community Foundation of Switzerland County, Inc.</t>
  </si>
  <si>
    <t>35-2087649</t>
  </si>
  <si>
    <t>PO Box 46</t>
  </si>
  <si>
    <t>Vevay</t>
  </si>
  <si>
    <t>PATRICIA H SNYDER FAMILY FOUNDATION</t>
  </si>
  <si>
    <t>35-6710105</t>
  </si>
  <si>
    <t>315 W Wortman Rd</t>
  </si>
  <si>
    <t>ANNE KILCAWLEY CHRISTMAN FOUNDATION</t>
  </si>
  <si>
    <t>35-6735706</t>
  </si>
  <si>
    <t xml:space="preserve">BRIGHT PROMISES FOUNDATION                                            </t>
  </si>
  <si>
    <t>36-2182047</t>
  </si>
  <si>
    <t>333 North Michigan Avenue, Suite 510</t>
  </si>
  <si>
    <t>O12 (Fund Raising and/or Fund Distribution)</t>
  </si>
  <si>
    <t>FRANCISCAN SISTERS OF CHICAGO SERVICE CORPORATION</t>
  </si>
  <si>
    <t>36-3579767</t>
  </si>
  <si>
    <t>11500 Theresa Dr</t>
  </si>
  <si>
    <t>Lemont</t>
  </si>
  <si>
    <t>GOODMAN SUPPORTING FOUNDATION</t>
  </si>
  <si>
    <t>36-4018187</t>
  </si>
  <si>
    <t>BICKNER FAMILY FOUNDATION</t>
  </si>
  <si>
    <t>36-4043122</t>
  </si>
  <si>
    <t>11702 Deerpath Rd</t>
  </si>
  <si>
    <t>RUNDGREN FOUNDATION</t>
  </si>
  <si>
    <t>36-4104629</t>
  </si>
  <si>
    <t>1010 Jorie Blvd</t>
  </si>
  <si>
    <t>S ORVILLE RYAN FAMILY FOUNDATION</t>
  </si>
  <si>
    <t>36-4157632</t>
  </si>
  <si>
    <t>135 Thornbrook Rd</t>
  </si>
  <si>
    <t>Dekalb</t>
  </si>
  <si>
    <t>HOWARD AND URSULA DUBIN FOUNDATION</t>
  </si>
  <si>
    <t>36-4161932</t>
  </si>
  <si>
    <t>1633 Central St</t>
  </si>
  <si>
    <t>JOAN &amp; VERLIN JACKSON FOUNDATION</t>
  </si>
  <si>
    <t>36-4218998</t>
  </si>
  <si>
    <t>405 W Williams St</t>
  </si>
  <si>
    <t>Atkinson</t>
  </si>
  <si>
    <t>CORNERSTONE CENTER FOUNDATION</t>
  </si>
  <si>
    <t>36-4248583</t>
  </si>
  <si>
    <t>0s280 Bauman Ct</t>
  </si>
  <si>
    <t>West Chicago</t>
  </si>
  <si>
    <t>FULL CIRCLE FOUNDATION</t>
  </si>
  <si>
    <t>36-4265265</t>
  </si>
  <si>
    <t>PO Box 387</t>
  </si>
  <si>
    <t>Richmond</t>
  </si>
  <si>
    <t>JOHN &amp; SUSAN DEWAN FOUNDATION</t>
  </si>
  <si>
    <t>36-4339823</t>
  </si>
  <si>
    <t>6543 N Tahoma Ave</t>
  </si>
  <si>
    <t>FULL CIRCLE FAMILY FOUNDATION</t>
  </si>
  <si>
    <t>36-4391114</t>
  </si>
  <si>
    <t>C/O Terrance K Holt</t>
  </si>
  <si>
    <t>WESSELINK FAMILY FOUNDATION</t>
  </si>
  <si>
    <t>36-4405466</t>
  </si>
  <si>
    <t>1133 Western Ave</t>
  </si>
  <si>
    <t>MADELYN BUCKSBAUM ADAMSON FOUNDATION</t>
  </si>
  <si>
    <t>36-4442342</t>
  </si>
  <si>
    <t>LURLINE H JOCHUM CHARITABLE TRUST</t>
  </si>
  <si>
    <t>36-4537243</t>
  </si>
  <si>
    <t>Po Box 34290</t>
  </si>
  <si>
    <t>BUTLER FAMILY FOUNDATION</t>
  </si>
  <si>
    <t>36-6101775</t>
  </si>
  <si>
    <t>1550 Nw Hwy Ste 108 D</t>
  </si>
  <si>
    <t>GALLAGHER FAMILY FOUNDATION</t>
  </si>
  <si>
    <t>36-7156974</t>
  </si>
  <si>
    <t>233 S Wacker Dr Ste 6600</t>
  </si>
  <si>
    <t>MARGARET A ROBERTS CHARITABLE FOUNDATION</t>
  </si>
  <si>
    <t>36-7238483</t>
  </si>
  <si>
    <t>Sarah M Linsley 300 N Lasalle No</t>
  </si>
  <si>
    <t>DONALD W COLLIER CHARITABLE TR II 122800</t>
  </si>
  <si>
    <t>36-7357161</t>
  </si>
  <si>
    <t>300 North State Street</t>
  </si>
  <si>
    <t>BERNARD R BRENNAN CHARITABLE TR</t>
  </si>
  <si>
    <t>36-7494242</t>
  </si>
  <si>
    <t>1812 N Dewey St</t>
  </si>
  <si>
    <t>JOE &amp; ELWENA SCARPACI FOUNDATION</t>
  </si>
  <si>
    <t>37-1248135</t>
  </si>
  <si>
    <t>311 Banker Blvd</t>
  </si>
  <si>
    <t>Vandalia</t>
  </si>
  <si>
    <t>FAITH AND WILLIAM PAUTLER FAMILY FOUNDATION</t>
  </si>
  <si>
    <t>37-1392434</t>
  </si>
  <si>
    <t>Chester</t>
  </si>
  <si>
    <t>GEORGE P OBERTATE TRUST 36504</t>
  </si>
  <si>
    <t>37-6140950</t>
  </si>
  <si>
    <t>MILDRED J DINWIDDIE TRUST 06610004</t>
  </si>
  <si>
    <t>37-6220926</t>
  </si>
  <si>
    <t>JACKSONVILLE PUBLIC LIBRARY TR 00257</t>
  </si>
  <si>
    <t>37-6294590</t>
  </si>
  <si>
    <t>ELIZABETH S BAKER TRUST</t>
  </si>
  <si>
    <t>37-6371073</t>
  </si>
  <si>
    <t>Litchfield</t>
  </si>
  <si>
    <t>JAPANESE SOC OF DETROIT FOUNDATION</t>
  </si>
  <si>
    <t>38-3038586</t>
  </si>
  <si>
    <t>3000 Town Ctr Ste 606</t>
  </si>
  <si>
    <t>BELLWETHER FOUNDATION</t>
  </si>
  <si>
    <t>38-3182232</t>
  </si>
  <si>
    <t>Po Box 475</t>
  </si>
  <si>
    <t>Book Industry Charitable Foundation</t>
  </si>
  <si>
    <t>38-3279018</t>
  </si>
  <si>
    <t>713 W Ellsworth Road, Suite A</t>
  </si>
  <si>
    <t>THE HILT FOUNDATION</t>
  </si>
  <si>
    <t>38-3306839</t>
  </si>
  <si>
    <t>Po Box 256</t>
  </si>
  <si>
    <t>Montague</t>
  </si>
  <si>
    <t>BURT FOUNDATION</t>
  </si>
  <si>
    <t>38-3309907</t>
  </si>
  <si>
    <t>101 N Main St 7th Floor</t>
  </si>
  <si>
    <t>GALENCHER NAGY FOUNDATION INC</t>
  </si>
  <si>
    <t>38-3319580</t>
  </si>
  <si>
    <t>31555 West Fourteen Mile</t>
  </si>
  <si>
    <t>JACK &amp; WYNNITA JOY WESTERBEEK FAMILY FOUNDATION</t>
  </si>
  <si>
    <t>38-3324067</t>
  </si>
  <si>
    <t>Grosse Ile</t>
  </si>
  <si>
    <t>ISABELLA BANK &amp; TRUST FOUNDATION</t>
  </si>
  <si>
    <t>38-3348258</t>
  </si>
  <si>
    <t>400 N Main</t>
  </si>
  <si>
    <t>HANSEN CHARITABLE FOUNDATION</t>
  </si>
  <si>
    <t>38-3350783</t>
  </si>
  <si>
    <t>5775 Stonebridge Dr Sw</t>
  </si>
  <si>
    <t>Grandville</t>
  </si>
  <si>
    <t>IDM FOUNDATION</t>
  </si>
  <si>
    <t>38-3348061</t>
  </si>
  <si>
    <t>FOSTER FAMILY FOUNDATION</t>
  </si>
  <si>
    <t>38-3357234</t>
  </si>
  <si>
    <t>120 Cypress St</t>
  </si>
  <si>
    <t>Manistee</t>
  </si>
  <si>
    <t>KATE AND RICHARD WOLTERS FOUNDATION</t>
  </si>
  <si>
    <t>38-3384598</t>
  </si>
  <si>
    <t>2260 Cascade Springs Dr Se</t>
  </si>
  <si>
    <t>DOORNINK FOUNDATION</t>
  </si>
  <si>
    <t>38-3386701</t>
  </si>
  <si>
    <t>111 Lyon St Nw Ste 900</t>
  </si>
  <si>
    <t>HUNTING FOUNDATION</t>
  </si>
  <si>
    <t>38-3412588</t>
  </si>
  <si>
    <t>15 Ionia Ave Sw Ste 505</t>
  </si>
  <si>
    <t>WEGE OSMAN FOUNDATION</t>
  </si>
  <si>
    <t>38-3420052</t>
  </si>
  <si>
    <t>MYRON P LEVEN FOUNDATION</t>
  </si>
  <si>
    <t>38-3443921</t>
  </si>
  <si>
    <t>100 South Cass Lake Road</t>
  </si>
  <si>
    <t>Waterford</t>
  </si>
  <si>
    <t>KNOWLTON FOUNDATION</t>
  </si>
  <si>
    <t>38-3506105</t>
  </si>
  <si>
    <t>317 Grand River Ave</t>
  </si>
  <si>
    <t>THE NORTHERN CROSS FOUNDATION</t>
  </si>
  <si>
    <t>38-3518590</t>
  </si>
  <si>
    <t>4681 5th St</t>
  </si>
  <si>
    <t>Caledonia</t>
  </si>
  <si>
    <t>BAHADUR FAMILY FOUNDATION</t>
  </si>
  <si>
    <t>38-3573929</t>
  </si>
  <si>
    <t>3222 Middlebelt Rd</t>
  </si>
  <si>
    <t>JBS FOUNDATION</t>
  </si>
  <si>
    <t>38-3713152</t>
  </si>
  <si>
    <t>150 Aspen Way</t>
  </si>
  <si>
    <t>Berrien Community Foundation, Inc.</t>
  </si>
  <si>
    <t>38-6057160</t>
  </si>
  <si>
    <t>2900 S State</t>
  </si>
  <si>
    <t>Ste 2E</t>
  </si>
  <si>
    <t>St. Joseph</t>
  </si>
  <si>
    <t>Jackson Community Foundation</t>
  </si>
  <si>
    <t>38-6070739</t>
  </si>
  <si>
    <t>One Jackson Square</t>
  </si>
  <si>
    <t>Ste 308</t>
  </si>
  <si>
    <t>THE LARSON LAND FOUNDATION</t>
  </si>
  <si>
    <t>38-6776837</t>
  </si>
  <si>
    <t>K WENTWORTH TR FBO BELMONT</t>
  </si>
  <si>
    <t>38-6833452</t>
  </si>
  <si>
    <t>HOWARD YOUNG FOUNDATION INC</t>
  </si>
  <si>
    <t>39-1521169</t>
  </si>
  <si>
    <t>240 Maple St</t>
  </si>
  <si>
    <t>Woodruff</t>
  </si>
  <si>
    <t>THE CHAR AND CHUCK FOWLER FAMILY FOUNDATION</t>
  </si>
  <si>
    <t>90-0035660</t>
  </si>
  <si>
    <t>5885 Landerbrook C/O Cornerstone</t>
  </si>
  <si>
    <t>Mayfield Heights</t>
  </si>
  <si>
    <t>GII CHARITIES</t>
  </si>
  <si>
    <t>90-0098975</t>
  </si>
  <si>
    <t>55 Campau Ave Nw</t>
  </si>
  <si>
    <t>SALTSBURG FUND CHARITABLE TR</t>
  </si>
  <si>
    <t>91-2044415</t>
  </si>
  <si>
    <t>Po Box 836</t>
  </si>
  <si>
    <t>Daniel P@Haerther Charitable Trust</t>
  </si>
  <si>
    <t>26-1225450</t>
  </si>
  <si>
    <t>330 N Wabash Ave</t>
  </si>
  <si>
    <t>DUNELAND HEALTH COUNCIL INC</t>
  </si>
  <si>
    <t>35-2021548</t>
  </si>
  <si>
    <t>515 Franklin St</t>
  </si>
  <si>
    <t>Ramesh K and Hem P Mohindra Foundation</t>
  </si>
  <si>
    <t>38-2554784</t>
  </si>
  <si>
    <t>4403 Landing Dr</t>
  </si>
  <si>
    <t>COMMUNITY FOUNDATION OF GRANT COUNTY INDIANA INC</t>
  </si>
  <si>
    <t>31-1117791</t>
  </si>
  <si>
    <t>505 West Third Street</t>
  </si>
  <si>
    <t>Marion</t>
  </si>
  <si>
    <t>Oprah Winfrey Charitable Foundation</t>
  </si>
  <si>
    <t>26-6908382</t>
  </si>
  <si>
    <t>110 N Carpenter Street</t>
  </si>
  <si>
    <t>Madison Community Foundation</t>
  </si>
  <si>
    <t>39-6038248</t>
  </si>
  <si>
    <t>P.O. Box 5010</t>
  </si>
  <si>
    <t>LEO A KAHAN AND EMELIE O KAHAN CHARITABLE FOUNDATION</t>
  </si>
  <si>
    <t>38-3341030</t>
  </si>
  <si>
    <t>300 Saint Andrews Rd Ste 402</t>
  </si>
  <si>
    <t>TUW B J VOSS CHAR TR HIGHLAND</t>
  </si>
  <si>
    <t>59-7276676</t>
  </si>
  <si>
    <t>TUW B J VOSS CHAR TR FRIENDSHIP</t>
  </si>
  <si>
    <t>59-7276737</t>
  </si>
  <si>
    <t>Hardiek Family Foundation</t>
  </si>
  <si>
    <t>80-6024613</t>
  </si>
  <si>
    <t>3454 52nd St</t>
  </si>
  <si>
    <t>MARY AND CHARLES SETHNESS CHARITABLE FOUNDATION</t>
  </si>
  <si>
    <t>90-0103956</t>
  </si>
  <si>
    <t>180 N Stetson Ave Ste 1940</t>
  </si>
  <si>
    <t>Jah Foundation</t>
  </si>
  <si>
    <t>34-1852785</t>
  </si>
  <si>
    <t>2291 Riverfront Pkwy Ste 1000</t>
  </si>
  <si>
    <t>Nina and Geneva Mills Memorial Fund 001061</t>
  </si>
  <si>
    <t>38-6502185</t>
  </si>
  <si>
    <t>106 S Main St-16th Fl</t>
  </si>
  <si>
    <t>Joseph Simeon Sanchez Medical Research Fund</t>
  </si>
  <si>
    <t>43-6693329</t>
  </si>
  <si>
    <t>ROBERT U &amp; MABEL O LIPSCOMB</t>
  </si>
  <si>
    <t>74-2323973</t>
  </si>
  <si>
    <t>ELIZABETH C POOL CHARITABLE TR 050011913500</t>
  </si>
  <si>
    <t>91-6577853</t>
  </si>
  <si>
    <t>FRANKLIN COUNTY COMMUNITY FOUNDATION INC</t>
  </si>
  <si>
    <t>35-2034336</t>
  </si>
  <si>
    <t>527 Main Street</t>
  </si>
  <si>
    <t>Brookville</t>
  </si>
  <si>
    <t>Kay Torshen Foundation</t>
  </si>
  <si>
    <t>20-1900191</t>
  </si>
  <si>
    <t>980 N Michigan Ave</t>
  </si>
  <si>
    <t>George W and Elizabeth W Kelly Foundation Inc</t>
  </si>
  <si>
    <t>26-0820191</t>
  </si>
  <si>
    <t>3400 W Bay Cir</t>
  </si>
  <si>
    <t>Lewis Center</t>
  </si>
  <si>
    <t>The Milton R &amp; Beulah M Young Foundation</t>
  </si>
  <si>
    <t>34-1908082</t>
  </si>
  <si>
    <t>Six West Third Street</t>
  </si>
  <si>
    <t>Jacob J Fink Charitable Foundation</t>
  </si>
  <si>
    <t>36-4176379</t>
  </si>
  <si>
    <t>205 N Michigan Avenue</t>
  </si>
  <si>
    <t>Seth Bonder Foundation</t>
  </si>
  <si>
    <t>45-4929846</t>
  </si>
  <si>
    <t>2723 S State St Ste 400</t>
  </si>
  <si>
    <t>Beaverdale Foundation Tr 040800</t>
  </si>
  <si>
    <t>52-7073398</t>
  </si>
  <si>
    <t>910 S Michigan Ave Apt 1703</t>
  </si>
  <si>
    <t>Wedner Family Foundation</t>
  </si>
  <si>
    <t>26-3863441</t>
  </si>
  <si>
    <t>544 W Dickens Ave</t>
  </si>
  <si>
    <t>Lynn &amp; Paul Alandt Foundation</t>
  </si>
  <si>
    <t>27-2677218</t>
  </si>
  <si>
    <t>Jack Joseph and Morton Mandel Foundation</t>
  </si>
  <si>
    <t>34-6546418</t>
  </si>
  <si>
    <t>1000 Lakeside Ave E</t>
  </si>
  <si>
    <t>Keweenaw Community Foundation</t>
  </si>
  <si>
    <t>38-3223079</t>
  </si>
  <si>
    <t>236 Quincy St</t>
  </si>
  <si>
    <t>Hancock</t>
  </si>
  <si>
    <t>David and Lynne Weinberg Family Foundation</t>
  </si>
  <si>
    <t>45-4421956</t>
  </si>
  <si>
    <t>401 N Michigan Ave Ste 3050</t>
  </si>
  <si>
    <t>Melchizedek Foundation</t>
  </si>
  <si>
    <t>26-4042474</t>
  </si>
  <si>
    <t>2522 N Salisbury St</t>
  </si>
  <si>
    <t>W Lafayette</t>
  </si>
  <si>
    <t>Jasperson Family Foundation Inc</t>
  </si>
  <si>
    <t>26-1362096</t>
  </si>
  <si>
    <t>6134 Highway 173 W</t>
  </si>
  <si>
    <t>Wisconsin Rapids</t>
  </si>
  <si>
    <t>The Carson and Rosemary Noecker Family Foundation</t>
  </si>
  <si>
    <t>38-6826742</t>
  </si>
  <si>
    <t>Abar Foundation 43J 74C10</t>
  </si>
  <si>
    <t>33-0928475</t>
  </si>
  <si>
    <t>7261 Engle Rd Plz S Two Ste 202</t>
  </si>
  <si>
    <t>The Donald E &amp; Eydie R Garlikov Family Foundation</t>
  </si>
  <si>
    <t>31-1487317</t>
  </si>
  <si>
    <t>41 South High Street</t>
  </si>
  <si>
    <t>Blooming Prairie Foundation Inc</t>
  </si>
  <si>
    <t>45-0511132</t>
  </si>
  <si>
    <t>1457 E Washington Ave</t>
  </si>
  <si>
    <t>Christine and Paul Branstad Family Foundation</t>
  </si>
  <si>
    <t>26-3171796</t>
  </si>
  <si>
    <t>400 W Erie St Ste 100</t>
  </si>
  <si>
    <t>Wellpoint Foundation Inc</t>
  </si>
  <si>
    <t>35-2122763</t>
  </si>
  <si>
    <t>120 Monument Cir</t>
  </si>
  <si>
    <t>Gegax Family Foundation</t>
  </si>
  <si>
    <t>41-1989478</t>
  </si>
  <si>
    <t>Declaration of Tr Establishing the Weston Foundation</t>
  </si>
  <si>
    <t>36-7483664</t>
  </si>
  <si>
    <t>360 W Illinois St</t>
  </si>
  <si>
    <t>Barbara W and Philip R DERROW Family Foundation</t>
  </si>
  <si>
    <t>46-4175578</t>
  </si>
  <si>
    <t>7 Hawksmoor Dr</t>
  </si>
  <si>
    <t>JEFFERSON COUNTY PUBLIC EDUCATION FOUNDATION</t>
  </si>
  <si>
    <t>61-1021128</t>
  </si>
  <si>
    <t>Po Box 35368</t>
  </si>
  <si>
    <t>Richard and Alita Rogers Family Foundation</t>
  </si>
  <si>
    <t>46-1469889</t>
  </si>
  <si>
    <t>538 Woodside Dr</t>
  </si>
  <si>
    <t>Florence H &amp; Eugene E Myers Charitable Tr</t>
  </si>
  <si>
    <t>65-6382657</t>
  </si>
  <si>
    <t>Eleanor &amp; Anthony Defrancis Scholarship Fund</t>
  </si>
  <si>
    <t>52-7153399</t>
  </si>
  <si>
    <t>The Ware Bluegrass Foundation Inc</t>
  </si>
  <si>
    <t>31-1730429</t>
  </si>
  <si>
    <t>Kellcie Fund</t>
  </si>
  <si>
    <t>36-4267581</t>
  </si>
  <si>
    <t>1603 Orrington Ave</t>
  </si>
  <si>
    <t>McCall Family Foundation</t>
  </si>
  <si>
    <t>36-7089446</t>
  </si>
  <si>
    <t>625 Hill Rd</t>
  </si>
  <si>
    <t>Daniel &amp; Ethel Hamburger Music Fund</t>
  </si>
  <si>
    <t>20-3203451</t>
  </si>
  <si>
    <t>26716 Annesley Rd</t>
  </si>
  <si>
    <t>Dr Kirti Jain Family Foundation Inc</t>
  </si>
  <si>
    <t>20-1729881</t>
  </si>
  <si>
    <t>243 Bellefonte Cir</t>
  </si>
  <si>
    <t>Elsa M Heisel Sule Charitable Trust</t>
  </si>
  <si>
    <t>20-7277661</t>
  </si>
  <si>
    <t>250 Grandview Dr</t>
  </si>
  <si>
    <t>Ft Mitchell</t>
  </si>
  <si>
    <t>Susan and Jon Diamond Family Foundation</t>
  </si>
  <si>
    <t>31-1523574</t>
  </si>
  <si>
    <t>2 Miranova Pl Ste 600</t>
  </si>
  <si>
    <t>Crowther Foundation</t>
  </si>
  <si>
    <t>38-3353260</t>
  </si>
  <si>
    <t>8253 New Haven Way</t>
  </si>
  <si>
    <t>Helppie Family Charitable Foundation</t>
  </si>
  <si>
    <t>38-3374687</t>
  </si>
  <si>
    <t>Po Box 607</t>
  </si>
  <si>
    <t>Steven and Kathryn Bandstra Foundation</t>
  </si>
  <si>
    <t>38-3580356</t>
  </si>
  <si>
    <t>800 E Ellis Road 504</t>
  </si>
  <si>
    <t>Norton Shores</t>
  </si>
  <si>
    <t>Herbert and Katherine Kurth Religious Foundation Inc</t>
  </si>
  <si>
    <t>45-0529788</t>
  </si>
  <si>
    <t>3780 N 169th St</t>
  </si>
  <si>
    <t>Dayenu Foundation Trust</t>
  </si>
  <si>
    <t>46-1631555</t>
  </si>
  <si>
    <t>Harmon Family Foundation</t>
  </si>
  <si>
    <t>75-3225655</t>
  </si>
  <si>
    <t>6455 Wheatstone Ct</t>
  </si>
  <si>
    <t>Maumee</t>
  </si>
  <si>
    <t>The David and Carol Van Andel Foundation</t>
  </si>
  <si>
    <t>20-2110420</t>
  </si>
  <si>
    <t>3133 Orchard Vista Dr Se</t>
  </si>
  <si>
    <t>The Cara Foundation Inc</t>
  </si>
  <si>
    <t>20-5640721</t>
  </si>
  <si>
    <t>16800 W Greenfield Ave</t>
  </si>
  <si>
    <t>Robet Foundation Inc</t>
  </si>
  <si>
    <t>20-5260732</t>
  </si>
  <si>
    <t>4045 Edison Lakes Pkwy Ste 100</t>
  </si>
  <si>
    <t>Best Portion Foundation</t>
  </si>
  <si>
    <t>26-0894840</t>
  </si>
  <si>
    <t>111 South Wacker Drive</t>
  </si>
  <si>
    <t>Skyler Foundation</t>
  </si>
  <si>
    <t>31-1420623</t>
  </si>
  <si>
    <t>Po Box 145496</t>
  </si>
  <si>
    <t>Feeco International Foundation Inc</t>
  </si>
  <si>
    <t>39-1916022</t>
  </si>
  <si>
    <t>3913 Algoma Rd</t>
  </si>
  <si>
    <t>Virginia Lee Shirley Private Foundation</t>
  </si>
  <si>
    <t>27-2545558</t>
  </si>
  <si>
    <t>Morgenstern Family Foundation</t>
  </si>
  <si>
    <t>36-4121029</t>
  </si>
  <si>
    <t>106 Vine Ave</t>
  </si>
  <si>
    <t>Pilgrim Foundation Tr U-a</t>
  </si>
  <si>
    <t>36-7159136</t>
  </si>
  <si>
    <t>1530 N Cranbrook Rd</t>
  </si>
  <si>
    <t>Donovan Family Foundation 2600677600</t>
  </si>
  <si>
    <t>36-7463172</t>
  </si>
  <si>
    <t>211 W Westminster Rd</t>
  </si>
  <si>
    <t>Ghassan &amp; Manal Saab Foundation</t>
  </si>
  <si>
    <t>38-3416517</t>
  </si>
  <si>
    <t>3407 Torrey Rd</t>
  </si>
  <si>
    <t>ALNOUR FOUNDATION</t>
  </si>
  <si>
    <t>38-3502540</t>
  </si>
  <si>
    <t>5031 Villa Linde Pkwy</t>
  </si>
  <si>
    <t>Edelweiss Foundation</t>
  </si>
  <si>
    <t>38-3576636</t>
  </si>
  <si>
    <t>945 Wellsley Ct</t>
  </si>
  <si>
    <t>Anam Foundation</t>
  </si>
  <si>
    <t>45-3597029</t>
  </si>
  <si>
    <t>430 Indiana Ave</t>
  </si>
  <si>
    <t>Eugene E Myers 1997 Chairitable Tr</t>
  </si>
  <si>
    <t>65-6382664</t>
  </si>
  <si>
    <t>Marion Community Foundation</t>
  </si>
  <si>
    <t>31-4446189</t>
  </si>
  <si>
    <t>504 South State Street</t>
  </si>
  <si>
    <t>Vermillion County Community Foundation Inc</t>
  </si>
  <si>
    <t>35-1998550</t>
  </si>
  <si>
    <t>102 N Main Street</t>
  </si>
  <si>
    <t>Vera Bradley Foundation for Breast Cancer</t>
  </si>
  <si>
    <t>35-2058177</t>
  </si>
  <si>
    <t>12420 Stonebridge Rd</t>
  </si>
  <si>
    <t>Roanoke</t>
  </si>
  <si>
    <t>Rinker Family Foundation Inc</t>
  </si>
  <si>
    <t>20-2038798</t>
  </si>
  <si>
    <t>6793 E Eli Lilly Rd</t>
  </si>
  <si>
    <t>Syracuse</t>
  </si>
  <si>
    <t>Ibn AL Haitham Endowment Fund Inc</t>
  </si>
  <si>
    <t>27-1162605</t>
  </si>
  <si>
    <t>John D &amp; Leslie Henner Burns Fam Foundation</t>
  </si>
  <si>
    <t>36-4482898</t>
  </si>
  <si>
    <t>1301 N Dearborn Parkway</t>
  </si>
  <si>
    <t>York Rite Charitable Fund</t>
  </si>
  <si>
    <t>38-2324079</t>
  </si>
  <si>
    <t>500 Temple St</t>
  </si>
  <si>
    <t>Honora M Cullinan Foundation</t>
  </si>
  <si>
    <t>84-1672598</t>
  </si>
  <si>
    <t>724 N 20th St</t>
  </si>
  <si>
    <t>GAGARIN TRUST</t>
  </si>
  <si>
    <t>06-6419374</t>
  </si>
  <si>
    <t>105 Beechwold Pl</t>
  </si>
  <si>
    <t>PEGGY AND JOHN STRATTON FOUNDATION</t>
  </si>
  <si>
    <t>20-0301373</t>
  </si>
  <si>
    <t>1279 Crestview Ave Sw</t>
  </si>
  <si>
    <t>New Phila</t>
  </si>
  <si>
    <t>SAM &amp; SARA MERMELSTEIN FAMILY FOUNDATION</t>
  </si>
  <si>
    <t>20-0846315</t>
  </si>
  <si>
    <t>8140 River Dr</t>
  </si>
  <si>
    <t>Morton Grove</t>
  </si>
  <si>
    <t>ACT OF HOPE FOUNDATION</t>
  </si>
  <si>
    <t>20-1275778</t>
  </si>
  <si>
    <t>PO Box 3682</t>
  </si>
  <si>
    <t>CHICAGO BLACKHAWK CHARITIES INC</t>
  </si>
  <si>
    <t>20-3871291</t>
  </si>
  <si>
    <t>680 N Lake Shore Dr Fl 19</t>
  </si>
  <si>
    <t>SHAKIR CHARITABLE TRUST</t>
  </si>
  <si>
    <t>20-7318341</t>
  </si>
  <si>
    <t>C/O 26300 Telegraph Rd</t>
  </si>
  <si>
    <t>THE FOXMAN FAMILY FOUNDATION</t>
  </si>
  <si>
    <t>20-8073404</t>
  </si>
  <si>
    <t>1929 Browning Ct</t>
  </si>
  <si>
    <t>Community Foundation of St. Joseph County</t>
  </si>
  <si>
    <t>23-7365930</t>
  </si>
  <si>
    <t>PO Box 837</t>
  </si>
  <si>
    <t>ALFRED J &amp; LOTTE GRUEN FOUNDATION</t>
  </si>
  <si>
    <t>23-7433092</t>
  </si>
  <si>
    <t>1110 N Lake Shore Dr Apt 31n</t>
  </si>
  <si>
    <t>TERRENCE S KAISER AND BARBARA A KAISER FOUNDATION</t>
  </si>
  <si>
    <t>26-2534235</t>
  </si>
  <si>
    <t>4922 Barnes Rd</t>
  </si>
  <si>
    <t>Millington</t>
  </si>
  <si>
    <t>JANE AUDREY ELLIS CHARITABLE FOUNDATION</t>
  </si>
  <si>
    <t>26-6700117</t>
  </si>
  <si>
    <t>BARANAY FAMILY FOUNDATION INC</t>
  </si>
  <si>
    <t>27-1363578</t>
  </si>
  <si>
    <t>5342 W Vermont St</t>
  </si>
  <si>
    <t>DORRIS C MICHALSKE IRREV TR</t>
  </si>
  <si>
    <t>27-6389794</t>
  </si>
  <si>
    <t>1900 E Ninth St</t>
  </si>
  <si>
    <t>IVA JEAN IRVIN CARNAHAN &amp; R NORMAN CARNAHN BLANCHESTER HIGH SCHOOL</t>
  </si>
  <si>
    <t>30-6002578</t>
  </si>
  <si>
    <t>212 E Main St</t>
  </si>
  <si>
    <t>Blanchester</t>
  </si>
  <si>
    <t>WADDELL FAMILY FOUNDATION</t>
  </si>
  <si>
    <t>31-1534712</t>
  </si>
  <si>
    <t>Po Box 54284</t>
  </si>
  <si>
    <t>31-1572982</t>
  </si>
  <si>
    <t>9643 Ash Ct</t>
  </si>
  <si>
    <t>SMITH FAMILY FOUNDATION</t>
  </si>
  <si>
    <t>31-1603487</t>
  </si>
  <si>
    <t>745 Lakengren Cv</t>
  </si>
  <si>
    <t>RIG III FAMILY FOUNDATION</t>
  </si>
  <si>
    <t>31-1679716</t>
  </si>
  <si>
    <t>2778 Som Center Road</t>
  </si>
  <si>
    <t>Willoughby Hills</t>
  </si>
  <si>
    <t>THE SANTREECE FOUNDATION</t>
  </si>
  <si>
    <t>31-1809798</t>
  </si>
  <si>
    <t>100 E Huron St Apt 4503</t>
  </si>
  <si>
    <t>ALICE LOUISE RIDENOUR WOOD SCHOLARSHIP FUND</t>
  </si>
  <si>
    <t>31-6395426</t>
  </si>
  <si>
    <t>ANCIENT ACCEPTED SCOTTISH RITE OF FREE MASONRY NMJ</t>
  </si>
  <si>
    <t>34-0067736</t>
  </si>
  <si>
    <t>3615 Euclid Ave</t>
  </si>
  <si>
    <t>Cleveiand</t>
  </si>
  <si>
    <t>501(c)(10) Domestic Fraternal Societies</t>
  </si>
  <si>
    <t>NEW BREMEN FOUNDATION INC</t>
  </si>
  <si>
    <t>34-1837854</t>
  </si>
  <si>
    <t>PO Box 97</t>
  </si>
  <si>
    <t>New Bremen</t>
  </si>
  <si>
    <t>HERR FAMILY FOUNDATION INC</t>
  </si>
  <si>
    <t>35-2016101</t>
  </si>
  <si>
    <t>7113 Bentgrass Dr</t>
  </si>
  <si>
    <t>SEYMOUR A COHEN FAMILY FOUNDATION</t>
  </si>
  <si>
    <t>36-3991489</t>
  </si>
  <si>
    <t>680 North Lake Shore Drive</t>
  </si>
  <si>
    <t>DAN AND MICKI CHAPIN FUND</t>
  </si>
  <si>
    <t>36-4147435</t>
  </si>
  <si>
    <t>Po Box 550</t>
  </si>
  <si>
    <t>Hampshire</t>
  </si>
  <si>
    <t>FOLEY FAMILY FOUNDATION</t>
  </si>
  <si>
    <t>36-4263312</t>
  </si>
  <si>
    <t>930 S Westwood Ave</t>
  </si>
  <si>
    <t>Addison</t>
  </si>
  <si>
    <t>C LOUIS MEYER FAMILY FOUNDATION</t>
  </si>
  <si>
    <t>36-4304695</t>
  </si>
  <si>
    <t>11804 E Main St Ste 250</t>
  </si>
  <si>
    <t>Huntley</t>
  </si>
  <si>
    <t>RONALD AND MARY ANN LACHMAN FOUNDATION</t>
  </si>
  <si>
    <t>36-7093692</t>
  </si>
  <si>
    <t>5215 Old Orchard Rd Ste 525</t>
  </si>
  <si>
    <t>THE BROOKBY FOUNDATION</t>
  </si>
  <si>
    <t>38-3202330</t>
  </si>
  <si>
    <t>10936 N Port Washington Rd 181</t>
  </si>
  <si>
    <t>MURRAY C AND INA C PITT CHARITABLE TRUST</t>
  </si>
  <si>
    <t>38-3268352</t>
  </si>
  <si>
    <t>2000 Town Ctr Ste 1350</t>
  </si>
  <si>
    <t>LEO A HERNING FOUNDATION</t>
  </si>
  <si>
    <t>38-3654906</t>
  </si>
  <si>
    <t>1411 Coral Berry Ln</t>
  </si>
  <si>
    <t>WPS CHARITABLE FOUNDATION INC</t>
  </si>
  <si>
    <t>39-1568111</t>
  </si>
  <si>
    <t>1717 W Broadway</t>
  </si>
  <si>
    <t>Monona</t>
  </si>
  <si>
    <t>Community Foundation of Chippewa County Inc</t>
  </si>
  <si>
    <t>39-2024542</t>
  </si>
  <si>
    <t>P.O. Box 153</t>
  </si>
  <si>
    <t>Chippewa Falls</t>
  </si>
  <si>
    <t>MARTEN CHARITABLE FOUNDATION CORPORATION</t>
  </si>
  <si>
    <t>45-1198742</t>
  </si>
  <si>
    <t>210 W 77th St</t>
  </si>
  <si>
    <t>LOREN AND HELEN WALKER FOUNDATION</t>
  </si>
  <si>
    <t>47-0870989</t>
  </si>
  <si>
    <t>Po Box 155</t>
  </si>
  <si>
    <t>New Lisbon</t>
  </si>
  <si>
    <t>LOUIS A COTTLE TUW FBO WDMS</t>
  </si>
  <si>
    <t>59-7267218</t>
  </si>
  <si>
    <t>TUA J ELIZABETH MCCAIN CHARITABL</t>
  </si>
  <si>
    <t>59-7276566</t>
  </si>
  <si>
    <t>ADREANI FAMILY FOUNDATION</t>
  </si>
  <si>
    <t>86-1089646</t>
  </si>
  <si>
    <t>7458 N Harlem Ave</t>
  </si>
  <si>
    <t>COMMUNITY FOUNDATION OF KANKAKEE RIVER VALLEY</t>
  </si>
  <si>
    <t>36-3235540</t>
  </si>
  <si>
    <t>701 S Harrison Ave</t>
  </si>
  <si>
    <t>Kankakee</t>
  </si>
  <si>
    <t>Dan &amp; Kris Neyer Family Foundation Inc</t>
  </si>
  <si>
    <t>46-1628439</t>
  </si>
  <si>
    <t>2135 Dana Ave Ste 200</t>
  </si>
  <si>
    <t>Charles E Lewis and Sara J Lewis Charitable Tr</t>
  </si>
  <si>
    <t>46-7086359</t>
  </si>
  <si>
    <t>Jerome J &amp; Dorothy H Holz Fam Foundation 10192001</t>
  </si>
  <si>
    <t>36-7368506</t>
  </si>
  <si>
    <t>10400 W Innovation Dr Ste 110</t>
  </si>
  <si>
    <t>TOLEDO COMMUNITY FOUNDATION</t>
  </si>
  <si>
    <t>23-7284004</t>
  </si>
  <si>
    <t>300 Madison Avenue</t>
  </si>
  <si>
    <t>Suite 1300</t>
  </si>
  <si>
    <t>Barrington Area Community Foundation</t>
  </si>
  <si>
    <t>36-4244673</t>
  </si>
  <si>
    <t>421 N Northwest Highway</t>
  </si>
  <si>
    <t>Mary Elizabeth HERCHE Charitable Tr</t>
  </si>
  <si>
    <t>61-6282300</t>
  </si>
  <si>
    <t>International Institute for Sustained Dialogue</t>
  </si>
  <si>
    <t>47-0894510</t>
  </si>
  <si>
    <t>200 Commons Rd</t>
  </si>
  <si>
    <t>Strattec Foundation Inc</t>
  </si>
  <si>
    <t>39-1890894</t>
  </si>
  <si>
    <t>Foundation for Appalachian Kentucky Inc</t>
  </si>
  <si>
    <t>61-1329396</t>
  </si>
  <si>
    <t>Po Box 310</t>
  </si>
  <si>
    <t>Chavies</t>
  </si>
  <si>
    <t>University of Cincinnati Foundation</t>
  </si>
  <si>
    <t>31-0896555</t>
  </si>
  <si>
    <t>Po Box 19970</t>
  </si>
  <si>
    <t>CENTRAL INDIANA COMMUNITY FOUNDATION INC</t>
  </si>
  <si>
    <t>35-1793680</t>
  </si>
  <si>
    <t>615 N. Alabama Street</t>
  </si>
  <si>
    <t>Suite 119</t>
  </si>
  <si>
    <t>The Community Foundation of the Holland Zeeland Area</t>
  </si>
  <si>
    <t>38-6095283</t>
  </si>
  <si>
    <t>85 E 8th St</t>
  </si>
  <si>
    <t>Ste 110</t>
  </si>
  <si>
    <t>HARTWIG FAMILY FOUNDATION INC</t>
  </si>
  <si>
    <t>39-1977500</t>
  </si>
  <si>
    <t>Po Box 733</t>
  </si>
  <si>
    <t>Nehring Family Foundation</t>
  </si>
  <si>
    <t>34-1838148</t>
  </si>
  <si>
    <t>1422 Euclid Ave Ste 1500</t>
  </si>
  <si>
    <t>Ihs Foundatiion</t>
  </si>
  <si>
    <t>31-1721314</t>
  </si>
  <si>
    <t>2700 E Dublin-Granville Road No 300</t>
  </si>
  <si>
    <t>Michael T Riordan Family Foundation</t>
  </si>
  <si>
    <t>30-6000348</t>
  </si>
  <si>
    <t>W3563 Meredith Ln</t>
  </si>
  <si>
    <t>Green Lake</t>
  </si>
  <si>
    <t>Rockwern Charitable Foundation</t>
  </si>
  <si>
    <t>31-1590504</t>
  </si>
  <si>
    <t>30 Garfield Pl Ste 1030</t>
  </si>
  <si>
    <t>William A Marquard Family Foundation Inc</t>
  </si>
  <si>
    <t>26-1273210</t>
  </si>
  <si>
    <t>Graham Edwin and Sharon Janosik Mitchell Foundation</t>
  </si>
  <si>
    <t>26-2574714</t>
  </si>
  <si>
    <t>6104 Chappellfield Dr</t>
  </si>
  <si>
    <t>Fred and Laura Ruth Bidwell Foundation</t>
  </si>
  <si>
    <t>90-0634981</t>
  </si>
  <si>
    <t>Po Box 304</t>
  </si>
  <si>
    <t>Peninsula</t>
  </si>
  <si>
    <t>Marshall County Community Foundation</t>
  </si>
  <si>
    <t>35-1826870</t>
  </si>
  <si>
    <t>P. O. Box 716</t>
  </si>
  <si>
    <t>Chicago Foundation for Women</t>
  </si>
  <si>
    <t>36-3348160</t>
  </si>
  <si>
    <t>One E Wacker Dr</t>
  </si>
  <si>
    <t>Ste 1620</t>
  </si>
  <si>
    <t>Archdiocese of Milwaukee Catholic Community Foundation Inc</t>
  </si>
  <si>
    <t>39-2005163</t>
  </si>
  <si>
    <t>637 E Erie St</t>
  </si>
  <si>
    <t>HERMAN AND LOUISE SCHMITTCHARITABLE TRUST DTD 6-1-07</t>
  </si>
  <si>
    <t>20-7467528</t>
  </si>
  <si>
    <t>314 4th St</t>
  </si>
  <si>
    <t>DANFORTH AND JUNKO THOMAS CHARITABLE FOUNDATION</t>
  </si>
  <si>
    <t>26-1337609</t>
  </si>
  <si>
    <t>490 W South St</t>
  </si>
  <si>
    <t>COLUMBIANA COMMUNITY FOUNDATION INC</t>
  </si>
  <si>
    <t>34-1514321</t>
  </si>
  <si>
    <t>11 S Main St</t>
  </si>
  <si>
    <t>Columbiana</t>
  </si>
  <si>
    <t>HENRY &amp; CLARICE DOVER FOUNDATION</t>
  </si>
  <si>
    <t>37-1359815</t>
  </si>
  <si>
    <t>455 N Main St</t>
  </si>
  <si>
    <t>FRED J MALOOF FAMILY FOUNDATION</t>
  </si>
  <si>
    <t>38-3618043</t>
  </si>
  <si>
    <t>28525 Harper Ave</t>
  </si>
  <si>
    <t>MARSHFIELD AREA COMMUNITY FOUNDATION</t>
  </si>
  <si>
    <t>39-6578767</t>
  </si>
  <si>
    <t>PO Box 456</t>
  </si>
  <si>
    <t>907 N. Central Ave.</t>
  </si>
  <si>
    <t>Marshfield</t>
  </si>
  <si>
    <t>Maxwell and Marjorie Jospey Support Foundation</t>
  </si>
  <si>
    <t>30-0232176</t>
  </si>
  <si>
    <t>Po Box 2030 6735 Telegraph Rd</t>
  </si>
  <si>
    <t>Shelby Ohio Community Foundation Ofrichland County Ohio</t>
  </si>
  <si>
    <t>20-4864395</t>
  </si>
  <si>
    <t>142 N Gamble St Ste F</t>
  </si>
  <si>
    <t>Shelby</t>
  </si>
  <si>
    <t>Columbus Foundation</t>
  </si>
  <si>
    <t>31-6044264</t>
  </si>
  <si>
    <t>Judson Foundation</t>
  </si>
  <si>
    <t>32-0048863</t>
  </si>
  <si>
    <t>2181 Ambleside Drive</t>
  </si>
  <si>
    <t>INCOURAGE COMMUNITY FOUNDATION INC</t>
  </si>
  <si>
    <t>39-1772651</t>
  </si>
  <si>
    <t>478 E. Grand Avenue</t>
  </si>
  <si>
    <t>Greater Cedarburg Foundation Inc</t>
  </si>
  <si>
    <t>39-2008146</t>
  </si>
  <si>
    <t>The Steve Van Andel Foundation</t>
  </si>
  <si>
    <t>20-2110604</t>
  </si>
  <si>
    <t>3133 Orchard Vista Drive Se</t>
  </si>
  <si>
    <t>Shaughnessy Family Foundation</t>
  </si>
  <si>
    <t>20-5428903</t>
  </si>
  <si>
    <t>37699 Cedar Rd</t>
  </si>
  <si>
    <t>Dick and Timmy Burton Foundation</t>
  </si>
  <si>
    <t>26-6208503</t>
  </si>
  <si>
    <t>Jack A and Sheila A Weinberg Family Foundation</t>
  </si>
  <si>
    <t>45-5437500</t>
  </si>
  <si>
    <t>Good Part Foundation</t>
  </si>
  <si>
    <t>38-3558047</t>
  </si>
  <si>
    <t>7500 Brookville Rd</t>
  </si>
  <si>
    <t>Herman W Ladish Family Foundation Inc</t>
  </si>
  <si>
    <t>39-6063602</t>
  </si>
  <si>
    <t>13255 W Bluemound Rd Ste 201a</t>
  </si>
  <si>
    <t>Putnam Family Foundation</t>
  </si>
  <si>
    <t>20-4000349</t>
  </si>
  <si>
    <t>326 Essex Rd</t>
  </si>
  <si>
    <t>Kenilworth</t>
  </si>
  <si>
    <t>Matthews Family Foundation</t>
  </si>
  <si>
    <t>45-6441049</t>
  </si>
  <si>
    <t>C/O 631 West St Clair Avenue</t>
  </si>
  <si>
    <t>Stairway Fund</t>
  </si>
  <si>
    <t>30-0286949</t>
  </si>
  <si>
    <t>Orval and Lillian Shore Tr1</t>
  </si>
  <si>
    <t>16-6548441</t>
  </si>
  <si>
    <t>Robert C Dart Foundation</t>
  </si>
  <si>
    <t>20-5973757</t>
  </si>
  <si>
    <t>500 Hogsback Rd</t>
  </si>
  <si>
    <t>Mason</t>
  </si>
  <si>
    <t>ZIONSVILLE EDUCATION FOUNDATION INC</t>
  </si>
  <si>
    <t>30-0024279</t>
  </si>
  <si>
    <t>900 Mulberry St</t>
  </si>
  <si>
    <t>Blackacre Conservancy Inc</t>
  </si>
  <si>
    <t>31-1072393</t>
  </si>
  <si>
    <t>3200 Tucker Station Rd</t>
  </si>
  <si>
    <t>Scheetz Chuey Charitable Foundation</t>
  </si>
  <si>
    <t>34-1936840</t>
  </si>
  <si>
    <t>New Springfld</t>
  </si>
  <si>
    <t>Vincent and Lois Tippmann Foundation Charitable Tr Fund</t>
  </si>
  <si>
    <t>35-2051510</t>
  </si>
  <si>
    <t>4410 New Haven Ave</t>
  </si>
  <si>
    <t>Gram Charitable Foundation Tr</t>
  </si>
  <si>
    <t>36-7332041</t>
  </si>
  <si>
    <t>Po Box 63</t>
  </si>
  <si>
    <t>Crystal Lake</t>
  </si>
  <si>
    <t>Father Lopez Foundation Inc</t>
  </si>
  <si>
    <t>59-3124478</t>
  </si>
  <si>
    <t>1406 W 6th St Fl 3</t>
  </si>
  <si>
    <t>Mennonite Memorial Fund Inc</t>
  </si>
  <si>
    <t>34-1336292</t>
  </si>
  <si>
    <t>410 W Elm St</t>
  </si>
  <si>
    <t>Bluffton</t>
  </si>
  <si>
    <t>Rosecrance Foundation</t>
  </si>
  <si>
    <t>36-4167891</t>
  </si>
  <si>
    <t>1021 N Mulford Road</t>
  </si>
  <si>
    <t>Geoffrey T Crowley Family Foundation Inc</t>
  </si>
  <si>
    <t>26-1385752</t>
  </si>
  <si>
    <t>6610 N Purdy Pkwy</t>
  </si>
  <si>
    <t>The Bruce and Beth White Family Foundation</t>
  </si>
  <si>
    <t>20-8107053</t>
  </si>
  <si>
    <t>701 E 83rd Avenue</t>
  </si>
  <si>
    <t>Evjue Foundation Inc</t>
  </si>
  <si>
    <t>39-6073981</t>
  </si>
  <si>
    <t>Po Box 8060</t>
  </si>
  <si>
    <t>Granville Foundation</t>
  </si>
  <si>
    <t>23-7241045</t>
  </si>
  <si>
    <t>Po Box 321</t>
  </si>
  <si>
    <t>Granville</t>
  </si>
  <si>
    <t>Thatcher Family Fund of the Cleveland Foundation</t>
  </si>
  <si>
    <t>90-0400460</t>
  </si>
  <si>
    <t>1422 Euclid Ave Ste 1300</t>
  </si>
  <si>
    <t>Charles and Marcia Larsen &amp; Anthony and Priscilla Beadell Foundation</t>
  </si>
  <si>
    <t>26-3770441</t>
  </si>
  <si>
    <t>10148 N Sheridan Dr</t>
  </si>
  <si>
    <t>Martha C Reith Charitable Foundation</t>
  </si>
  <si>
    <t>35-6704341</t>
  </si>
  <si>
    <t>Skylark Foundation</t>
  </si>
  <si>
    <t>36-7055540</t>
  </si>
  <si>
    <t>180 E Pearson St Apt 5604</t>
  </si>
  <si>
    <t>James and Aune Nelson Foundation</t>
  </si>
  <si>
    <t>37-1371840</t>
  </si>
  <si>
    <t>Po Box 5146</t>
  </si>
  <si>
    <t>Godfrey</t>
  </si>
  <si>
    <t>Arlin E Maas Family Foundation</t>
  </si>
  <si>
    <t>38-3351934</t>
  </si>
  <si>
    <t>11440 Fulton St E</t>
  </si>
  <si>
    <t>Lowell</t>
  </si>
  <si>
    <t>William &amp; Ruth Kelly Family Foundation</t>
  </si>
  <si>
    <t>06-1661997</t>
  </si>
  <si>
    <t>4231 Beach Rd</t>
  </si>
  <si>
    <t>Medina</t>
  </si>
  <si>
    <t>Donohoe Family Charitable Foundation</t>
  </si>
  <si>
    <t>61-1375534</t>
  </si>
  <si>
    <t>1021 Lauren Dr</t>
  </si>
  <si>
    <t>Villa Hills</t>
  </si>
  <si>
    <t>Aline Underhill Orten Foundation Inc</t>
  </si>
  <si>
    <t>72-1477797</t>
  </si>
  <si>
    <t>35745 Beattie Dr</t>
  </si>
  <si>
    <t>Sterling Hts</t>
  </si>
  <si>
    <t>Madison County Community Foundation Inc</t>
  </si>
  <si>
    <t>35-1859959</t>
  </si>
  <si>
    <t>33 W 10th St Ste 600</t>
  </si>
  <si>
    <t>Lee Hopp Save Foundation</t>
  </si>
  <si>
    <t>37-1314916</t>
  </si>
  <si>
    <t>3001 Save Rd</t>
  </si>
  <si>
    <t>Horwitz Charitable Fund</t>
  </si>
  <si>
    <t>20-3193491</t>
  </si>
  <si>
    <t>651 W Washington St</t>
  </si>
  <si>
    <t>Trinity Health Foundation</t>
  </si>
  <si>
    <t>31-1329423</t>
  </si>
  <si>
    <t>380 Summit Ave</t>
  </si>
  <si>
    <t>National Machinery Foundation Inc</t>
  </si>
  <si>
    <t>34-6520191</t>
  </si>
  <si>
    <t>Po Box 747</t>
  </si>
  <si>
    <t>Tiffin</t>
  </si>
  <si>
    <t>Paula M Steiner Family Foundation Inc</t>
  </si>
  <si>
    <t>37-1452090</t>
  </si>
  <si>
    <t>865 Rosewood Dr</t>
  </si>
  <si>
    <t>Sanilac County Community Foundation</t>
  </si>
  <si>
    <t>38-3204484</t>
  </si>
  <si>
    <t>Koeppen-Gerlach Foundation Inc</t>
  </si>
  <si>
    <t>39-2002931</t>
  </si>
  <si>
    <t>ROBERT &amp; CHRISTINE STEINMANN FAMILY FOUNDATION</t>
  </si>
  <si>
    <t>20-0166460</t>
  </si>
  <si>
    <t>2011 Madison Rd</t>
  </si>
  <si>
    <t>SCHWARZ FAMILY FOUNDATION</t>
  </si>
  <si>
    <t>46-4218210</t>
  </si>
  <si>
    <t>3600 Woodview Trace</t>
  </si>
  <si>
    <t>LINDA CASWELL BERRY &amp; SONS FOUNDATION INC</t>
  </si>
  <si>
    <t>52-2381804</t>
  </si>
  <si>
    <t>One E Fourth</t>
  </si>
  <si>
    <t>DOROTHY E BIGELOW CHARITABLE TR</t>
  </si>
  <si>
    <t>20-6554064</t>
  </si>
  <si>
    <t>345 E Grand Ave</t>
  </si>
  <si>
    <t>ST MARYS COMMUNITY FOUNDATION</t>
  </si>
  <si>
    <t>23-7372270</t>
  </si>
  <si>
    <t>146 E Spring St</t>
  </si>
  <si>
    <t>St Marys</t>
  </si>
  <si>
    <t>Twink Frey Charitable Trust</t>
  </si>
  <si>
    <t>26-1131263</t>
  </si>
  <si>
    <t>161 Ottawa Ave Nw Ste 409a</t>
  </si>
  <si>
    <t>BROOKER CHARITABLE TRUST</t>
  </si>
  <si>
    <t>27-6180767</t>
  </si>
  <si>
    <t>138 Putnam St</t>
  </si>
  <si>
    <t>Marietta</t>
  </si>
  <si>
    <t>AMERICANA ARTS FOUNDATION</t>
  </si>
  <si>
    <t>31-1535209</t>
  </si>
  <si>
    <t>4357 Simca Ln</t>
  </si>
  <si>
    <t>JOHNSON FAMILY FOUNDATION</t>
  </si>
  <si>
    <t>31-1542859</t>
  </si>
  <si>
    <t>COTABISH CHARITABLE FOUNDATION</t>
  </si>
  <si>
    <t>34-1913255</t>
  </si>
  <si>
    <t>14701 Detroit Avenue</t>
  </si>
  <si>
    <t>1923 FUND</t>
  </si>
  <si>
    <t>36-7070455</t>
  </si>
  <si>
    <t>1026 Ogden Ave 2nd Fl</t>
  </si>
  <si>
    <t>COLEMAN A YOUNG FOUNDATION</t>
  </si>
  <si>
    <t>38-2400801</t>
  </si>
  <si>
    <t>2111 Woodward Ave Ste 500</t>
  </si>
  <si>
    <t>CLANNAD FOUNDATION</t>
  </si>
  <si>
    <t>38-3209484</t>
  </si>
  <si>
    <t>Helen Bader Foundation, Inc.</t>
  </si>
  <si>
    <t>39-1710914</t>
  </si>
  <si>
    <t>233 N Water St</t>
  </si>
  <si>
    <t>Fourth Fl</t>
  </si>
  <si>
    <t>Oshkosh Area Community Foundation Corporation</t>
  </si>
  <si>
    <t>39-2034571</t>
  </si>
  <si>
    <t>230 Ohio St</t>
  </si>
  <si>
    <t>Ste 100</t>
  </si>
  <si>
    <t>HAAG FAMILY FOUNDATION</t>
  </si>
  <si>
    <t>41-1885356</t>
  </si>
  <si>
    <t>1200 W Sherwin Ave 3-G</t>
  </si>
  <si>
    <t>Deena Hatch Foundation</t>
  </si>
  <si>
    <t>39-1943131</t>
  </si>
  <si>
    <t>N15301 13th Ave N</t>
  </si>
  <si>
    <t>Raymond C and Linda M Stachowiak Foundation</t>
  </si>
  <si>
    <t>26-3861336</t>
  </si>
  <si>
    <t>7n120 Weybridge Dr</t>
  </si>
  <si>
    <t>WESTERN INDIANA COMMUNITY FOUNDATION INC</t>
  </si>
  <si>
    <t>35-1814927</t>
  </si>
  <si>
    <t>P.O. Box 175</t>
  </si>
  <si>
    <t>Smith Family Foundation Inc</t>
  </si>
  <si>
    <t>35-2015637</t>
  </si>
  <si>
    <t>11711 N Meridian St Ste 600</t>
  </si>
  <si>
    <t>Outrider Foundation Inc</t>
  </si>
  <si>
    <t>39-1947995</t>
  </si>
  <si>
    <t>1002 Warrior Ct</t>
  </si>
  <si>
    <t>Waunakee</t>
  </si>
  <si>
    <t>Shopko Foundation Inc</t>
  </si>
  <si>
    <t>20-0917227</t>
  </si>
  <si>
    <t>Po Box 19060</t>
  </si>
  <si>
    <t>Annabelle Foundation</t>
  </si>
  <si>
    <t>20-5184989</t>
  </si>
  <si>
    <t>Jerry A and Kathleen A Grundhofer Family Foundation</t>
  </si>
  <si>
    <t>26-1364910</t>
  </si>
  <si>
    <t>Frank R -Bo- Dunlap Foundation</t>
  </si>
  <si>
    <t>31-1496488</t>
  </si>
  <si>
    <t>4701 Hickory Bend Rd</t>
  </si>
  <si>
    <t>Vitantonio Foundation Inc</t>
  </si>
  <si>
    <t>34-1956988</t>
  </si>
  <si>
    <t>634 Charles Pl</t>
  </si>
  <si>
    <t>Highland Hts</t>
  </si>
  <si>
    <t>Turn 2 Foundation Inc</t>
  </si>
  <si>
    <t>34-1847687</t>
  </si>
  <si>
    <t>1360 East 9th St</t>
  </si>
  <si>
    <t>Nina Mason Pulliam Charitable Tr</t>
  </si>
  <si>
    <t>35-6644088</t>
  </si>
  <si>
    <t>135 N Pennsylvania St Ste 1200</t>
  </si>
  <si>
    <t>CODE FAMILY FOUNDATION</t>
  </si>
  <si>
    <t>36-4159492</t>
  </si>
  <si>
    <t>c/o CHS, 10 S. Wacker Dr</t>
  </si>
  <si>
    <t>Ste 3175</t>
  </si>
  <si>
    <t>Sam and Victoria Reed Family Foundation</t>
  </si>
  <si>
    <t>36-4393893</t>
  </si>
  <si>
    <t>622 W Maple St</t>
  </si>
  <si>
    <t>The Chicago Bar Foundation</t>
  </si>
  <si>
    <t>36-6109584</t>
  </si>
  <si>
    <t>321 S Plymouth Court</t>
  </si>
  <si>
    <t>Suite 3B</t>
  </si>
  <si>
    <t>Karen J Glanert Charitable Tr</t>
  </si>
  <si>
    <t>39-6695585</t>
  </si>
  <si>
    <t>2933 W Range Line Ct</t>
  </si>
  <si>
    <t>Newthreads of Hope Inc</t>
  </si>
  <si>
    <t>39-1674150</t>
  </si>
  <si>
    <t>3001 N 112th St</t>
  </si>
  <si>
    <t>Young Mens Christian Association of Greater Cincinnati</t>
  </si>
  <si>
    <t>31-0537178</t>
  </si>
  <si>
    <t>1105 Elm St</t>
  </si>
  <si>
    <t>Neidlinger Garden Court Inc</t>
  </si>
  <si>
    <t>35-1915874</t>
  </si>
  <si>
    <t>905 E Berkley</t>
  </si>
  <si>
    <t>Thorek Memorial Foundation</t>
  </si>
  <si>
    <t>36-6124318</t>
  </si>
  <si>
    <t>850 W Irving Park Rd</t>
  </si>
  <si>
    <t>Eau Claire Community Foundation</t>
  </si>
  <si>
    <t>39-1891064</t>
  </si>
  <si>
    <t>306 S. Barstow St., Suite 104</t>
  </si>
  <si>
    <t>Robert E Frazier Tri-City Area Char FDTN Under Art 5 R Frazier Rev Tr</t>
  </si>
  <si>
    <t>45-6455678</t>
  </si>
  <si>
    <t>506 W Main St</t>
  </si>
  <si>
    <t>Cumberland</t>
  </si>
  <si>
    <t>Exelon Foundation</t>
  </si>
  <si>
    <t>83-0499473</t>
  </si>
  <si>
    <t>Po Box 5408</t>
  </si>
  <si>
    <t>Madeleine and Mandell L Berman Foundation</t>
  </si>
  <si>
    <t>38-6644875</t>
  </si>
  <si>
    <t>29100 Northwestern Hwy 370</t>
  </si>
  <si>
    <t>LICKING COUNTY FOUNDATION</t>
  </si>
  <si>
    <t>31-6018618</t>
  </si>
  <si>
    <t>PO Box 4212</t>
  </si>
  <si>
    <t>30 North Second Street</t>
  </si>
  <si>
    <t>NOBLE COUNTY COMMUNITY FOUNDATION INC</t>
  </si>
  <si>
    <t>35-1827247</t>
  </si>
  <si>
    <t>1599 Lincolnway South</t>
  </si>
  <si>
    <t>Ligonier</t>
  </si>
  <si>
    <t>Denver Jones Foundation</t>
  </si>
  <si>
    <t>73-1331353</t>
  </si>
  <si>
    <t>Arthur K Smith Family Foundationinc</t>
  </si>
  <si>
    <t>20-3867228</t>
  </si>
  <si>
    <t>6344 Limewood Cir</t>
  </si>
  <si>
    <t>Jrm Family Foundation</t>
  </si>
  <si>
    <t>36-4216229</t>
  </si>
  <si>
    <t>180 E Pearson St Apt 7004</t>
  </si>
  <si>
    <t>Victor Foundation</t>
  </si>
  <si>
    <t>42-1652732</t>
  </si>
  <si>
    <t>Richard D Van Lunen Charitable Foundation</t>
  </si>
  <si>
    <t>52-1419025</t>
  </si>
  <si>
    <t>13 Commons Dr</t>
  </si>
  <si>
    <t>Palos Park</t>
  </si>
  <si>
    <t>Charles J and Elizabeth R Koch Tr Charitable Private Foundation</t>
  </si>
  <si>
    <t>54-6506420</t>
  </si>
  <si>
    <t>19701 N Park Blvd</t>
  </si>
  <si>
    <t>Tulsa Foundation</t>
  </si>
  <si>
    <t>73-6090617</t>
  </si>
  <si>
    <t>10 S Dearborn St Ste 21 Fl Il10117</t>
  </si>
  <si>
    <t>Thomas R &amp; Deborah A Davidson Foundation Inc</t>
  </si>
  <si>
    <t>88-0383925</t>
  </si>
  <si>
    <t>C/O 260 E Brown Street Suite 320</t>
  </si>
  <si>
    <t>William C &amp; Mildred K Lehman Charitable Tr 082698</t>
  </si>
  <si>
    <t>31-1613162</t>
  </si>
  <si>
    <t>The John D &amp; Barbara C Cooney Family Foundation</t>
  </si>
  <si>
    <t>36-4408630</t>
  </si>
  <si>
    <t>120 N Lasalle St 30th Flr</t>
  </si>
  <si>
    <t>CLARA ABBOTT FOUNDATION</t>
  </si>
  <si>
    <t>36-6069632</t>
  </si>
  <si>
    <t>1175 Tri-State Parkway</t>
  </si>
  <si>
    <t>Gurnee</t>
  </si>
  <si>
    <t>Jane H Snow Memorial Tr Fbo Parkview Home of Freeport Inc</t>
  </si>
  <si>
    <t>36-6913987</t>
  </si>
  <si>
    <t>G F Patterson Trust</t>
  </si>
  <si>
    <t>37-6343185</t>
  </si>
  <si>
    <t>Po Box 400</t>
  </si>
  <si>
    <t>Paris</t>
  </si>
  <si>
    <t>Grand Rapids Community Foundation</t>
  </si>
  <si>
    <t>38-2877959</t>
  </si>
  <si>
    <t>185 Oakes Street SW</t>
  </si>
  <si>
    <t>Allerton Gardens Trust First Natl Bank of Chicago Ttee</t>
  </si>
  <si>
    <t>36-6836626</t>
  </si>
  <si>
    <t>BENTON COMMUNITY FOUNDATION INC</t>
  </si>
  <si>
    <t>26-0074023</t>
  </si>
  <si>
    <t>PO Box 351</t>
  </si>
  <si>
    <t>Fowler</t>
  </si>
  <si>
    <t>Bill and Jackie Lockwood Family Foundation</t>
  </si>
  <si>
    <t>03-6100828</t>
  </si>
  <si>
    <t>239 Spirea Dr</t>
  </si>
  <si>
    <t>Don Family Foundation</t>
  </si>
  <si>
    <t>20-2453417</t>
  </si>
  <si>
    <t>790 W Frontage Rd</t>
  </si>
  <si>
    <t>Hyland Family Foundation</t>
  </si>
  <si>
    <t>26-3882827</t>
  </si>
  <si>
    <t>9501 W 144th Place</t>
  </si>
  <si>
    <t>Four Winds Foundation</t>
  </si>
  <si>
    <t>31-1420130</t>
  </si>
  <si>
    <t>Po Box 358</t>
  </si>
  <si>
    <t>Swagelok Foundation</t>
  </si>
  <si>
    <t>34-1923618</t>
  </si>
  <si>
    <t>6262 Cochran Rd</t>
  </si>
  <si>
    <t>Sf Foundation</t>
  </si>
  <si>
    <t>36-4146804</t>
  </si>
  <si>
    <t>27 N Wacker Dr</t>
  </si>
  <si>
    <t>Lynch Family Foundation</t>
  </si>
  <si>
    <t>36-4482217</t>
  </si>
  <si>
    <t>206 N Pine St</t>
  </si>
  <si>
    <t>Prospect Hts</t>
  </si>
  <si>
    <t>Philip M Friedmann FAM Char Tr 110998</t>
  </si>
  <si>
    <t>36-7252117</t>
  </si>
  <si>
    <t>2430 N Lakeview Ave</t>
  </si>
  <si>
    <t>Jonathan Foundation</t>
  </si>
  <si>
    <t>38-3246029</t>
  </si>
  <si>
    <t>2006 S Cross Creek Dr Se</t>
  </si>
  <si>
    <t>James A &amp; Faith Knight Foundation</t>
  </si>
  <si>
    <t>38-3465904</t>
  </si>
  <si>
    <t>180 Little Lake Dr Ste 6b</t>
  </si>
  <si>
    <t>Cambridge Charitable Foundation</t>
  </si>
  <si>
    <t>20-1938332</t>
  </si>
  <si>
    <t>1 E 4th St Ste 700</t>
  </si>
  <si>
    <t>Chillicothe-Ross Community Foundation Inc</t>
  </si>
  <si>
    <t>31-1480939</t>
  </si>
  <si>
    <t>213 S Paint St</t>
  </si>
  <si>
    <t>Chillicothe</t>
  </si>
  <si>
    <t>Cgh Health Foundation</t>
  </si>
  <si>
    <t>36-3576034</t>
  </si>
  <si>
    <t>100 East Lefevre Road</t>
  </si>
  <si>
    <t>Sterling</t>
  </si>
  <si>
    <t>B &amp; D Foundation</t>
  </si>
  <si>
    <t>42-1652722</t>
  </si>
  <si>
    <t>Maxine and Stuart Frankel Foundation</t>
  </si>
  <si>
    <t>38-3445379</t>
  </si>
  <si>
    <t>1334 Maplelawn Dr</t>
  </si>
  <si>
    <t>Gerald J Kostelny and Carolyn Ckostelny Charitable Foundation</t>
  </si>
  <si>
    <t>20-8066926</t>
  </si>
  <si>
    <t>1400 16th St Ste 300</t>
  </si>
  <si>
    <t>Joya Charitable Foundation</t>
  </si>
  <si>
    <t>31-1585984</t>
  </si>
  <si>
    <t>312 Walnut St Ste 1400</t>
  </si>
  <si>
    <t>Lindorf Family Foundation</t>
  </si>
  <si>
    <t>31-1683202</t>
  </si>
  <si>
    <t>Po Box 3500</t>
  </si>
  <si>
    <t>Talmage Family Foundation</t>
  </si>
  <si>
    <t>45-3630423</t>
  </si>
  <si>
    <t>Po Box 12490</t>
  </si>
  <si>
    <t>Cole Charitable Tr Ua 102699</t>
  </si>
  <si>
    <t>58-6400414</t>
  </si>
  <si>
    <t>The Robert Carrie and Bobbie Steck Family Foundation</t>
  </si>
  <si>
    <t>61-6381923</t>
  </si>
  <si>
    <t>Licking County Foundation</t>
  </si>
  <si>
    <t>31-1760702</t>
  </si>
  <si>
    <t>30 N 2nd St</t>
  </si>
  <si>
    <t>Laurel Lake Retirement Community Foundation Inc</t>
  </si>
  <si>
    <t>34-1779303</t>
  </si>
  <si>
    <t>200 Laurel Lake Drive</t>
  </si>
  <si>
    <t>Jasper Foundation Inc</t>
  </si>
  <si>
    <t>35-1842404</t>
  </si>
  <si>
    <t>Rensselaer</t>
  </si>
  <si>
    <t>Van Andel Institute</t>
  </si>
  <si>
    <t>52-2000820</t>
  </si>
  <si>
    <t>333 Bostwick Ave Ne</t>
  </si>
  <si>
    <t>Charles S Bruno Charitable Trust</t>
  </si>
  <si>
    <t>35-6458112</t>
  </si>
  <si>
    <t>10 S Dearnborn Il1-0117</t>
  </si>
  <si>
    <t>Stearns Family Charitable Fund</t>
  </si>
  <si>
    <t>36-4262723</t>
  </si>
  <si>
    <t>The Irrevocable Trust of the Christian Science Society Of</t>
  </si>
  <si>
    <t>35-6601021</t>
  </si>
  <si>
    <t>Boonville</t>
  </si>
  <si>
    <t>Zelczer Family Foundation</t>
  </si>
  <si>
    <t>34-1852921</t>
  </si>
  <si>
    <t>4498 Churchill Blvd</t>
  </si>
  <si>
    <t>University Ht</t>
  </si>
  <si>
    <t>Walter &amp; Jean Kalberer Foundation</t>
  </si>
  <si>
    <t>34-1817179</t>
  </si>
  <si>
    <t>1259 W Hill Dr</t>
  </si>
  <si>
    <t>Joanie Jeanne and Howard Bernard Foundation Inc</t>
  </si>
  <si>
    <t>37-1547019</t>
  </si>
  <si>
    <t>Arthur G Jaros Sr and Dawn L JAROS Charitable Tr</t>
  </si>
  <si>
    <t>20-6090921</t>
  </si>
  <si>
    <t>5916 Longview Dr</t>
  </si>
  <si>
    <t>Countryside</t>
  </si>
  <si>
    <t>Putnam Foundation Trust P-09237</t>
  </si>
  <si>
    <t>13-6037083</t>
  </si>
  <si>
    <t>4947(a)(1) Non-Exempt Charitable Trusts - Private Foundations</t>
  </si>
  <si>
    <t>EDUCATION FOUNDATION OF THE CCIM INSTITUTE</t>
  </si>
  <si>
    <t>36-3773054</t>
  </si>
  <si>
    <t>430 N Michigan Ave</t>
  </si>
  <si>
    <t>Suite 801</t>
  </si>
  <si>
    <t>Henry L and Geraldine D Metzger Charitable Tr</t>
  </si>
  <si>
    <t>81-6127516</t>
  </si>
  <si>
    <t>C/O Steve Sheridan 8800 Lyra Dr No</t>
  </si>
  <si>
    <t>Kenneth W Scott Foundation</t>
  </si>
  <si>
    <t>20-5532477</t>
  </si>
  <si>
    <t>6055 Rockside Woods Blvd</t>
  </si>
  <si>
    <t>Babcox Family Foundation Inc</t>
  </si>
  <si>
    <t>34-1787178</t>
  </si>
  <si>
    <t>35450 S Woodland Rd</t>
  </si>
  <si>
    <t>Moreland Hls</t>
  </si>
  <si>
    <t>Klaff Family Foundation</t>
  </si>
  <si>
    <t>61-1480716</t>
  </si>
  <si>
    <t>180 N Michigan Ave # 300</t>
  </si>
  <si>
    <t>Scheumann Foundation Inc</t>
  </si>
  <si>
    <t>30-0129316</t>
  </si>
  <si>
    <t>Po Box 811</t>
  </si>
  <si>
    <t>Sam Schubert Foundation</t>
  </si>
  <si>
    <t>20-0447577</t>
  </si>
  <si>
    <t>27 Southwind Rd</t>
  </si>
  <si>
    <t>Elden and Mary Lee Gutwein Familyfoundation Inc</t>
  </si>
  <si>
    <t>20-3985878</t>
  </si>
  <si>
    <t>Po Box 1038</t>
  </si>
  <si>
    <t>The Samuel and Jean Frankel Jewish Heritage Foundation</t>
  </si>
  <si>
    <t>30-0095016</t>
  </si>
  <si>
    <t>2301 W Big Beaver Rd Ste 900</t>
  </si>
  <si>
    <t>Dorothy Planinsheck Fbo SS Cyril</t>
  </si>
  <si>
    <t>39-6788977</t>
  </si>
  <si>
    <t>Phoebe R and John D Lewis Foundation</t>
  </si>
  <si>
    <t>31-1401478</t>
  </si>
  <si>
    <t>5205 N Ironwood Rd Ste 211</t>
  </si>
  <si>
    <t>Leo S Guthman Fund</t>
  </si>
  <si>
    <t>61-1459002</t>
  </si>
  <si>
    <t>Iris Krieg Assc 333 N Michigan</t>
  </si>
  <si>
    <t>Memorial Hospital of Burlington Community Foundation Inc</t>
  </si>
  <si>
    <t>39-1567712</t>
  </si>
  <si>
    <t>W3985 County Road Nn</t>
  </si>
  <si>
    <t>Elkhorn</t>
  </si>
  <si>
    <t>Gustafson Family Charitable Foundation</t>
  </si>
  <si>
    <t>36-7286281</t>
  </si>
  <si>
    <t>3916 Sarazen Ct</t>
  </si>
  <si>
    <t>Woodridge</t>
  </si>
  <si>
    <t>ST CHRISTOPHERS FUND</t>
  </si>
  <si>
    <t>34-6505988</t>
  </si>
  <si>
    <t>YOUNGSTOWN FOUNDATION</t>
  </si>
  <si>
    <t>34-6515788</t>
  </si>
  <si>
    <t>Po Box 1162</t>
  </si>
  <si>
    <t>Donald L and Susan J Schwartzfoundation</t>
  </si>
  <si>
    <t>20-3686414</t>
  </si>
  <si>
    <t>191 Park Ave</t>
  </si>
  <si>
    <t>COPIA FOUNDATION INC</t>
  </si>
  <si>
    <t>61-1393373</t>
  </si>
  <si>
    <t>C/O Addington Mills 3292 Eagle View</t>
  </si>
  <si>
    <t>WATTLES FAMILY FOUNDATION</t>
  </si>
  <si>
    <t>38-3501111</t>
  </si>
  <si>
    <t>350 East Michigan Avenue</t>
  </si>
  <si>
    <t>Petcoff Family Foundation</t>
  </si>
  <si>
    <t>26-2097773</t>
  </si>
  <si>
    <t>Po Box 1461</t>
  </si>
  <si>
    <t>Gray Collection Trust</t>
  </si>
  <si>
    <t>26-1596672</t>
  </si>
  <si>
    <t>1130 N Lake Shore Dr Apt 5e</t>
  </si>
  <si>
    <t>Lifeboat Foundation</t>
  </si>
  <si>
    <t>36-4158875</t>
  </si>
  <si>
    <t>321 North Clark 5th Floor</t>
  </si>
  <si>
    <t>RICHARD AND SUSAN DUGAS FAMILYFOUNDATION</t>
  </si>
  <si>
    <t>20-3650410</t>
  </si>
  <si>
    <t>928 Bloomfield Knoll Dr</t>
  </si>
  <si>
    <t>BARNESVILLE AREA EDUCATION FOUNDATION</t>
  </si>
  <si>
    <t>34-1283289</t>
  </si>
  <si>
    <t>Po Box 1</t>
  </si>
  <si>
    <t>Barnesville</t>
  </si>
  <si>
    <t>Rockford Park District Foundation</t>
  </si>
  <si>
    <t>36-3083192</t>
  </si>
  <si>
    <t>401 S. Main St., Ste. 112</t>
  </si>
  <si>
    <t>THE JIM AND VANITA OELSCHLAGER FOUNDATION</t>
  </si>
  <si>
    <t>31-1528866</t>
  </si>
  <si>
    <t>3875 Embassy Parkway</t>
  </si>
  <si>
    <t>WEAVER POPCORN FOUNDATION INC</t>
  </si>
  <si>
    <t>35-2026043</t>
  </si>
  <si>
    <t>4485 S Perry Worth Rd</t>
  </si>
  <si>
    <t>Whitestown</t>
  </si>
  <si>
    <t>PAUL F &amp; FRANCA G OREFFICE FOUNDATION</t>
  </si>
  <si>
    <t>38-2705906</t>
  </si>
  <si>
    <t>224 E Larkin St</t>
  </si>
  <si>
    <t>COLLINS FAMILY FOUNDATION</t>
  </si>
  <si>
    <t>41-1792606</t>
  </si>
  <si>
    <t>200 S Wacker Dr Ste 750</t>
  </si>
  <si>
    <t>LOVETT AND RUTH PETERS FOUNDATIONINC</t>
  </si>
  <si>
    <t>20-8934367</t>
  </si>
  <si>
    <t>1500 Chiquita Center 250 E 5th</t>
  </si>
  <si>
    <t>SUPPORTIVE CARE SERVICES OF MICHIGAN INC</t>
  </si>
  <si>
    <t>38-3197374</t>
  </si>
  <si>
    <t>400 Mack Ave</t>
  </si>
  <si>
    <t>WAGNER-ESSMAN CARE FOUNDATION INC</t>
  </si>
  <si>
    <t>26-1405199</t>
  </si>
  <si>
    <t>W1285 Spring Prairie Rd</t>
  </si>
  <si>
    <t>Burlington</t>
  </si>
  <si>
    <t>NEW YORK TIMES NEEDIEST CASES FUND TRUST 2 PT 7445</t>
  </si>
  <si>
    <t>13-6036510</t>
  </si>
  <si>
    <t>JOHN HART FOUNDATION</t>
  </si>
  <si>
    <t>20-0156873</t>
  </si>
  <si>
    <t>1500 North Lake Shore Drive No 13a</t>
  </si>
  <si>
    <t>ROSSMAN FAMILY FOUNDATION</t>
  </si>
  <si>
    <t>20-3928172</t>
  </si>
  <si>
    <t>KOHNEN FAMILY FOUNDATION</t>
  </si>
  <si>
    <t>20-5597572</t>
  </si>
  <si>
    <t>8745 Red Fox Ln</t>
  </si>
  <si>
    <t>NORA AND RICHARD LEWIS FAMILY FOUNDATION NFP</t>
  </si>
  <si>
    <t>27-4298614</t>
  </si>
  <si>
    <t>Po Box 409</t>
  </si>
  <si>
    <t>Streamwood</t>
  </si>
  <si>
    <t>THERAPEUTIC RIDING CENTER FOUNDATION</t>
  </si>
  <si>
    <t>34-1815965</t>
  </si>
  <si>
    <t>16497 Snyder Rd</t>
  </si>
  <si>
    <t>LAGRANGE COUNTY COMMUNITY FOUNDATION INC</t>
  </si>
  <si>
    <t>35-1834679</t>
  </si>
  <si>
    <t>109 E Central Ave</t>
  </si>
  <si>
    <t>Ste #3</t>
  </si>
  <si>
    <t>LaGrange</t>
  </si>
  <si>
    <t>Decatur County Community Foundation, Inc.</t>
  </si>
  <si>
    <t>35-1870979</t>
  </si>
  <si>
    <t>PO Box 72</t>
  </si>
  <si>
    <t>101 E Main Street</t>
  </si>
  <si>
    <t>Greensburg</t>
  </si>
  <si>
    <t>AKARAMA FOUNDATION INC</t>
  </si>
  <si>
    <t>36-3163279</t>
  </si>
  <si>
    <t>6220 S Ingleside Ave</t>
  </si>
  <si>
    <t>BRUCE FOUNDATION</t>
  </si>
  <si>
    <t>36-4257410</t>
  </si>
  <si>
    <t>20 N Wacker Dr</t>
  </si>
  <si>
    <t>WEBER FAMILY FOUNDATION</t>
  </si>
  <si>
    <t>38-3325676</t>
  </si>
  <si>
    <t>Po Box 7607</t>
  </si>
  <si>
    <t>THE DOAN FAMILY FOUNDATION</t>
  </si>
  <si>
    <t>38-6078714</t>
  </si>
  <si>
    <t>3801 Valley Dr</t>
  </si>
  <si>
    <t>BIERMAN FAMILY FOUNDATION INC</t>
  </si>
  <si>
    <t>39-1673472</t>
  </si>
  <si>
    <t>Po Box 375</t>
  </si>
  <si>
    <t>Merrill</t>
  </si>
  <si>
    <t>NORTH AMERICAN BAPTIST CONFERENCE FOUNDATION USA</t>
  </si>
  <si>
    <t>91-2088498</t>
  </si>
  <si>
    <t>444 E Roosevelt Rd 335</t>
  </si>
  <si>
    <t>Lombard</t>
  </si>
  <si>
    <t>CORINNE L DODERO CHARITABLE TR FOR THE ARTS AND SCIENCES</t>
  </si>
  <si>
    <t>65-6239071</t>
  </si>
  <si>
    <t>7070 Gates Mills Blvd</t>
  </si>
  <si>
    <t>DISOMMA FAMILY FOUNDATION</t>
  </si>
  <si>
    <t>26-3859966</t>
  </si>
  <si>
    <t>600 W Chicago Ave</t>
  </si>
  <si>
    <t>THE ARIEL FOUNDATION</t>
  </si>
  <si>
    <t>27-0226408</t>
  </si>
  <si>
    <t>101 E Gambier St</t>
  </si>
  <si>
    <t>Mount Vernon</t>
  </si>
  <si>
    <t>RNR FOUNDATION INC</t>
  </si>
  <si>
    <t>65-0539370</t>
  </si>
  <si>
    <t>627 Burroughs St</t>
  </si>
  <si>
    <t>CONDUIT FOUNDATION</t>
  </si>
  <si>
    <t>04-3684566</t>
  </si>
  <si>
    <t>1700 W Irving Park Road No 203</t>
  </si>
  <si>
    <t>WHITEWATER COMMUNITY FOUNDATION</t>
  </si>
  <si>
    <t>39-1815260</t>
  </si>
  <si>
    <t>Po Box 428</t>
  </si>
  <si>
    <t>HOLLEY FOUNDATION</t>
  </si>
  <si>
    <t>38-6055168</t>
  </si>
  <si>
    <t>c/o The Private Bank</t>
  </si>
  <si>
    <t>38505 Woodward Ave., Suite 1300</t>
  </si>
  <si>
    <t>STOLLENWERK FAMILY FOUNDATION INC</t>
  </si>
  <si>
    <t>46-1955566</t>
  </si>
  <si>
    <t>10941 N Range Line Rd</t>
  </si>
  <si>
    <t>EXACTTARGET FOUNDATION INC</t>
  </si>
  <si>
    <t>45-3362871</t>
  </si>
  <si>
    <t>20 N Meridian St</t>
  </si>
  <si>
    <t>SARA HORRELL EDELSTEIN &amp; J JUDSON &amp; M HORRELL CHARITABLE TR 02-24891</t>
  </si>
  <si>
    <t>36-7280667</t>
  </si>
  <si>
    <t>JAMES J AND JOAN A GARDNER FAMILY FOUNDATION</t>
  </si>
  <si>
    <t>31-1397164</t>
  </si>
  <si>
    <t>6847 Cintas Blvd Ste 120</t>
  </si>
  <si>
    <t>ADAMS COUNTY COMMUNITY FOUNDATION INC</t>
  </si>
  <si>
    <t>35-1834664</t>
  </si>
  <si>
    <t>102 N 2ND St</t>
  </si>
  <si>
    <t>LIONS OF ILLINOIS ENDOWMENT FUND</t>
  </si>
  <si>
    <t>36-4177377</t>
  </si>
  <si>
    <t>2814 Dekalb Ave</t>
  </si>
  <si>
    <t>FURNISS FOUNDATION INC</t>
  </si>
  <si>
    <t>58-2273968</t>
  </si>
  <si>
    <t>DREAM MAKERZ FOUNDATION</t>
  </si>
  <si>
    <t>20-5585809</t>
  </si>
  <si>
    <t>485 E Half Day Rd Ste 200</t>
  </si>
  <si>
    <t>RYAN MEMORIAL FOUNDATION</t>
  </si>
  <si>
    <t>25-1781266</t>
  </si>
  <si>
    <t>10936 N Port Washington Rd</t>
  </si>
  <si>
    <t>PARK WEST FOUNDATION</t>
  </si>
  <si>
    <t>20-5917008</t>
  </si>
  <si>
    <t>29469 Northwestern Hwy</t>
  </si>
  <si>
    <t>GREENER PASTURES FOUNDATION</t>
  </si>
  <si>
    <t>31-1725746</t>
  </si>
  <si>
    <t>10050 Innovation Dr Ste 100</t>
  </si>
  <si>
    <t>Miamisburg</t>
  </si>
  <si>
    <t>MATER DEI FOUNDATION INC</t>
  </si>
  <si>
    <t>37-1249786</t>
  </si>
  <si>
    <t>Po Box 280</t>
  </si>
  <si>
    <t>G RUSSELL AND CONSTANCE P LINCOLN FOUNDATION TR UA 052799</t>
  </si>
  <si>
    <t>38-3471702</t>
  </si>
  <si>
    <t>30195 Chagrin Blvd Ste 250</t>
  </si>
  <si>
    <t>HUIZENGA FAMILY FOUNDATION</t>
  </si>
  <si>
    <t>20-5350762</t>
  </si>
  <si>
    <t>Po Box 159</t>
  </si>
  <si>
    <t>CAERUS FOUNDATION INC</t>
  </si>
  <si>
    <t>71-0935903</t>
  </si>
  <si>
    <t>4065 Commercial Ave</t>
  </si>
  <si>
    <t>THE HARTFORD FOUNDATION INC</t>
  </si>
  <si>
    <t>39-1424249</t>
  </si>
  <si>
    <t>Po Box 270082</t>
  </si>
  <si>
    <t>LEE AND MAXINE PECK FOUNDATION</t>
  </si>
  <si>
    <t>37-1474765</t>
  </si>
  <si>
    <t>39395 W 12 Mile Rd Ste 200</t>
  </si>
  <si>
    <t>DRUGAS FAMILY LEGACY FOUNDATION</t>
  </si>
  <si>
    <t>27-3954565</t>
  </si>
  <si>
    <t>17760 Iroquois Trce</t>
  </si>
  <si>
    <t>EDWARD A AND LOIS BRENNAN FAMILY FOUNDATION</t>
  </si>
  <si>
    <t>36-3993265</t>
  </si>
  <si>
    <t>6052 N Lake Drive Ct</t>
  </si>
  <si>
    <t>WILLIAM BARTRAM AND ELOISE WILLIAMS STURGILL FAMILY FOUNDATION</t>
  </si>
  <si>
    <t>26-2852365</t>
  </si>
  <si>
    <t>1256 Manchester St</t>
  </si>
  <si>
    <t>% William Bartram Sturgill</t>
  </si>
  <si>
    <t>C &amp; S FAMILY FOUNDATION</t>
  </si>
  <si>
    <t>20-3944400</t>
  </si>
  <si>
    <t>5965 Grafton Rd</t>
  </si>
  <si>
    <t>Valley City</t>
  </si>
  <si>
    <t>JAMES AND SUSAN RATNER FAMILY FOUNDATION</t>
  </si>
  <si>
    <t>20-8004503</t>
  </si>
  <si>
    <t>50 Public Sq Ste 1600</t>
  </si>
  <si>
    <t>GAITHER CHARITABLE FOUNDATION INC</t>
  </si>
  <si>
    <t>35-2020501</t>
  </si>
  <si>
    <t>Alexandria</t>
  </si>
  <si>
    <t>RUUD FAMILY FOUNDATION INC</t>
  </si>
  <si>
    <t>39-1915760</t>
  </si>
  <si>
    <t>Po Box 81188</t>
  </si>
  <si>
    <t>STERN FAMILY FOUNDATION</t>
  </si>
  <si>
    <t>26-3479263</t>
  </si>
  <si>
    <t>24755 Franklin Park Dr</t>
  </si>
  <si>
    <t>CHARLES E BENIDT FOUNDATION INC</t>
  </si>
  <si>
    <t>36-4522803</t>
  </si>
  <si>
    <t>Po Box 86</t>
  </si>
  <si>
    <t>Elm Grove</t>
  </si>
  <si>
    <t>ELSE L SCHULZE PERPETUAL CHARITABLE TRUST</t>
  </si>
  <si>
    <t>31-6664505</t>
  </si>
  <si>
    <t>SENKFOR FAMILY FOUNDATION</t>
  </si>
  <si>
    <t>34-1788305</t>
  </si>
  <si>
    <t>3659 Green Road</t>
  </si>
  <si>
    <t>ROCKWELL FOUNDATION</t>
  </si>
  <si>
    <t>27-4598563</t>
  </si>
  <si>
    <t>412 Lake St</t>
  </si>
  <si>
    <t>Kendallville</t>
  </si>
  <si>
    <t>GRANT TOWN</t>
  </si>
  <si>
    <t>30-0194163</t>
  </si>
  <si>
    <t>3481 Glen Oaks Ct</t>
  </si>
  <si>
    <t>DISTRICT 5 HOSPITAL PREPAREDNESSPLANNING COMMITTEE INC</t>
  </si>
  <si>
    <t>26-0857126</t>
  </si>
  <si>
    <t>8071 Township Line Rd Ste 200</t>
  </si>
  <si>
    <t>TERRI &amp; VERNE HOLOUBEK FAMILY FOUNDATION INC</t>
  </si>
  <si>
    <t>20-4002202</t>
  </si>
  <si>
    <t>6545 Donegal Rd</t>
  </si>
  <si>
    <t>THE KEYWELL FOUNDATION</t>
  </si>
  <si>
    <t>27-2572302</t>
  </si>
  <si>
    <t>600 W Chicago Ave Ste 775</t>
  </si>
  <si>
    <t>RUTH RAGON PIER CHARITABLE TRUST 8300089300</t>
  </si>
  <si>
    <t>75-6570862</t>
  </si>
  <si>
    <t>STOUGHTON COMMUNITY FOUNDATION INC</t>
  </si>
  <si>
    <t>39-1935790</t>
  </si>
  <si>
    <t>Po Box 84</t>
  </si>
  <si>
    <t>SUMMER FUND II</t>
  </si>
  <si>
    <t>14-1919035</t>
  </si>
  <si>
    <t>JORDAN FAMILY FOUNDATION INC</t>
  </si>
  <si>
    <t>20-5940739</t>
  </si>
  <si>
    <t>780 N Water St</t>
  </si>
  <si>
    <t>EDMUND H BLAKEMAN MEM FD TUA</t>
  </si>
  <si>
    <t>30-6314770</t>
  </si>
  <si>
    <t>SMILEY FAMILY CHARITABLE FOUNDATION</t>
  </si>
  <si>
    <t>31-1543239</t>
  </si>
  <si>
    <t>6364 Pearl Rd Ste 301</t>
  </si>
  <si>
    <t>Parma Heights</t>
  </si>
  <si>
    <t>MARILYN AND PETER TSIVITSE FOUNDATION</t>
  </si>
  <si>
    <t>31-1546865</t>
  </si>
  <si>
    <t>3030 Roundwood Rd</t>
  </si>
  <si>
    <t>Hunting Valley</t>
  </si>
  <si>
    <t>Rush County Community Foundation</t>
  </si>
  <si>
    <t>35-1835950</t>
  </si>
  <si>
    <t>117 N Main St</t>
  </si>
  <si>
    <t>ANNEXSTAD FAMILY FOUNDATION</t>
  </si>
  <si>
    <t>41-1975043</t>
  </si>
  <si>
    <t>W9429 Peterson Dr</t>
  </si>
  <si>
    <t>RICK L AND VICKI L JAMES FOUNDATION INC</t>
  </si>
  <si>
    <t>45-2195649</t>
  </si>
  <si>
    <t>1401 S Grandstaff Dr</t>
  </si>
  <si>
    <t>ROBERT &amp; ITA KLEIN CHARITABLE FOUNDATION</t>
  </si>
  <si>
    <t>46-1556994</t>
  </si>
  <si>
    <t>200 Public Sq Ste 2500</t>
  </si>
  <si>
    <t>THE FRANK AND MARY LAMBERSON FOUNDATION</t>
  </si>
  <si>
    <t>59-7096409</t>
  </si>
  <si>
    <t>BRIGHT FUTURE INTERNATIONAL NFP</t>
  </si>
  <si>
    <t>80-0621924</t>
  </si>
  <si>
    <t>111 Barclay Blvd Ste 280</t>
  </si>
  <si>
    <t>Lincolnshire</t>
  </si>
  <si>
    <t>JESSIE B MAHLKE TR 9388542000</t>
  </si>
  <si>
    <t>91-1861538</t>
  </si>
  <si>
    <t>DAVID M WARK &amp; MARY ANN BARROWS WARK FOUNDATION</t>
  </si>
  <si>
    <t>36-4383745</t>
  </si>
  <si>
    <t>LESLIE &amp; LORETTA COPELAND FOUNDATION TR 2600051400</t>
  </si>
  <si>
    <t>36-7278445</t>
  </si>
  <si>
    <t>MARQUETTE COMMUNITY FOUNDATION</t>
  </si>
  <si>
    <t>38-2826563</t>
  </si>
  <si>
    <t>Po Box 37</t>
  </si>
  <si>
    <t>Community Foundation of Union County, Inc.</t>
  </si>
  <si>
    <t>31-0628641</t>
  </si>
  <si>
    <t>PO Box 608</t>
  </si>
  <si>
    <t>EDGERTON AREA FOUNDATION INC</t>
  </si>
  <si>
    <t>34-1593384</t>
  </si>
  <si>
    <t>Po Box 523</t>
  </si>
  <si>
    <t>Edgerton</t>
  </si>
  <si>
    <t>Hendricks County Community Foundation, Inc.</t>
  </si>
  <si>
    <t>35-1878973</t>
  </si>
  <si>
    <t>6319 East U.S. Highway 36</t>
  </si>
  <si>
    <t>Suite 211</t>
  </si>
  <si>
    <t>RUTH M WALTON CHARITABLE TRUST ESTATE 3400106400</t>
  </si>
  <si>
    <t>20-7222751</t>
  </si>
  <si>
    <t>ROBERT S AND MARIANNE KAMINSKI FAMILY FOUNDATION</t>
  </si>
  <si>
    <t>36-7338457</t>
  </si>
  <si>
    <t>11411 Swinford Ln</t>
  </si>
  <si>
    <t>Mokena</t>
  </si>
  <si>
    <t>BATTLE CREEK COMMUNITY FOUNDATION</t>
  </si>
  <si>
    <t>38-2045459</t>
  </si>
  <si>
    <t>1 Riverwalk Centre</t>
  </si>
  <si>
    <t>34 West Jackson Street</t>
  </si>
  <si>
    <t>MEMORIAL HOSPITAL AND COMMUNITY HEALTH FOUNDATION INC</t>
  </si>
  <si>
    <t>39-1304761</t>
  </si>
  <si>
    <t>112 E 5th Ave</t>
  </si>
  <si>
    <t>Antigo</t>
  </si>
  <si>
    <t>THOMAS F AND SUSAN P MORAN FAMILY FOUNDATION</t>
  </si>
  <si>
    <t>46-1598110</t>
  </si>
  <si>
    <t>1 N Franklin St Ste 700</t>
  </si>
  <si>
    <t>DR W G MCCAULEY SCHOLARSHIPS</t>
  </si>
  <si>
    <t>61-6021777</t>
  </si>
  <si>
    <t>CATHOLIC EDUCATION DEVELOPMENT FUND</t>
  </si>
  <si>
    <t>34-1651051</t>
  </si>
  <si>
    <t>Po Box 1302</t>
  </si>
  <si>
    <t>HAROLD GEORGE SHRIVE MEMORIAL FUND TA 20-102000998982</t>
  </si>
  <si>
    <t>34-6916503</t>
  </si>
  <si>
    <t>HUTCHISON FOUNDATION</t>
  </si>
  <si>
    <t>36-4126011</t>
  </si>
  <si>
    <t>FRANCES G SHOOLROY FAMILY FOUNDATION</t>
  </si>
  <si>
    <t>34-1910725</t>
  </si>
  <si>
    <t>BROUSSARD CHARITABLE FOUNDATION TR</t>
  </si>
  <si>
    <t>35-6634227</t>
  </si>
  <si>
    <t>MARY E VAN DREW CHARITABLE FOUNDATION INC</t>
  </si>
  <si>
    <t>35-2045991</t>
  </si>
  <si>
    <t>7030 Pointe Inverness Way Ste 330</t>
  </si>
  <si>
    <t>DOLAN FAMILY FOUNDATION</t>
  </si>
  <si>
    <t>36-4312193</t>
  </si>
  <si>
    <t>2275 Half Day Rd</t>
  </si>
  <si>
    <t>Bannockburn</t>
  </si>
  <si>
    <t>MORGAN FAMILY FOUNDATION</t>
  </si>
  <si>
    <t>30-0205024</t>
  </si>
  <si>
    <t>130 Glen St., Unit #6</t>
  </si>
  <si>
    <t>P.O. Box 561</t>
  </si>
  <si>
    <t>Yellow Springs</t>
  </si>
  <si>
    <t>HYDE FAMILY CHARITABLE FUND</t>
  </si>
  <si>
    <t>16-1502229</t>
  </si>
  <si>
    <t>Po Box 2459</t>
  </si>
  <si>
    <t>HILLIER FAMILY FOUNDATION</t>
  </si>
  <si>
    <t>34-1818989</t>
  </si>
  <si>
    <t>Po Box 517</t>
  </si>
  <si>
    <t>Sharon Center</t>
  </si>
  <si>
    <t>ALFRED J MCALLISTER AND DOROTHY N MCALLISTER FOUNDATION</t>
  </si>
  <si>
    <t>35-2050825</t>
  </si>
  <si>
    <t>2310 N 725 E</t>
  </si>
  <si>
    <t>TED AND GRACE BACHHUBER FOUNDATION INC</t>
  </si>
  <si>
    <t>39-1415821</t>
  </si>
  <si>
    <t>Po Box 228</t>
  </si>
  <si>
    <t>Mayville</t>
  </si>
  <si>
    <t>DANIEL W ERDMAN FOUNDATION INC</t>
  </si>
  <si>
    <t>39-2012234</t>
  </si>
  <si>
    <t>STACK FAMILY FOUNDATION</t>
  </si>
  <si>
    <t>36-4349733</t>
  </si>
  <si>
    <t>440 W Randolph St Ste 500</t>
  </si>
  <si>
    <t>NORBERT L GAZIN EDUCATIONAL FUND</t>
  </si>
  <si>
    <t>52-7124691</t>
  </si>
  <si>
    <t>4900 Tiedeman Oh-01-49-0150</t>
  </si>
  <si>
    <t>J L &amp; MIYOKO WHEELER FOUNDATION INC</t>
  </si>
  <si>
    <t>20-8196129</t>
  </si>
  <si>
    <t>214 Golf Cart Dr</t>
  </si>
  <si>
    <t>Mayfield</t>
  </si>
  <si>
    <t>JAMES MILLS CHARITABLE FOUNDATION</t>
  </si>
  <si>
    <t>20-3972275</t>
  </si>
  <si>
    <t>500 N Green Bay Rd</t>
  </si>
  <si>
    <t>JULIAN AND EILEEN CARR FAMILY FOUNDATION</t>
  </si>
  <si>
    <t>20-6330373</t>
  </si>
  <si>
    <t>FDC FOUNDATION</t>
  </si>
  <si>
    <t>26-3349582</t>
  </si>
  <si>
    <t>1415 W 55th St Ste 202</t>
  </si>
  <si>
    <t>Purdue International</t>
  </si>
  <si>
    <t>31-0958507</t>
  </si>
  <si>
    <t>1281 Win Hentschel Blvd.</t>
  </si>
  <si>
    <t>West Lafayette</t>
  </si>
  <si>
    <t>JOHN NESS BECK FOUNDATION INC</t>
  </si>
  <si>
    <t>31-1207997</t>
  </si>
  <si>
    <t>960 Old Henderson Rd</t>
  </si>
  <si>
    <t>VAN NICE FOUNDATION</t>
  </si>
  <si>
    <t>31-1604783</t>
  </si>
  <si>
    <t>1209 N Astor St</t>
  </si>
  <si>
    <t>NARKA NELSON TRUST 690</t>
  </si>
  <si>
    <t>31-6048883</t>
  </si>
  <si>
    <t>300 High Street</t>
  </si>
  <si>
    <t>Hamilton</t>
  </si>
  <si>
    <t>NORTH SUBURBAN HEALTHCARE FOUNDATION</t>
  </si>
  <si>
    <t>36-3241658</t>
  </si>
  <si>
    <t>191 N Wacker Drive</t>
  </si>
  <si>
    <t>KELLOGGS CORPORATE CITIZENSHIP FUND</t>
  </si>
  <si>
    <t>38-3167772</t>
  </si>
  <si>
    <t>Po Box 3599</t>
  </si>
  <si>
    <t>JOSEPH S AND JEANNETTE M SILBER FOUNDATION CUYAHOGA COUNTY UNIT</t>
  </si>
  <si>
    <t>34-1363915</t>
  </si>
  <si>
    <t>4900 Tiedeman Rd Oh-01-49-0150</t>
  </si>
  <si>
    <t>ELIZABETH HOLLOWAY WOODS FOUNDATION</t>
  </si>
  <si>
    <t>27-6155847</t>
  </si>
  <si>
    <t>120 S Lasalle St 7th Fl</t>
  </si>
  <si>
    <t>John W. Anderson Foundation</t>
  </si>
  <si>
    <t>35-6070695</t>
  </si>
  <si>
    <t>402 Wall St</t>
  </si>
  <si>
    <t>Suite 12</t>
  </si>
  <si>
    <t>T99 (Other Philanthropy, Voluntarism, and Grantmaking Foundations N.E.C.)</t>
  </si>
  <si>
    <t>IROQUOIS FEDERAL FOUNDATION INC</t>
  </si>
  <si>
    <t>45-2255196</t>
  </si>
  <si>
    <t>201 E Cherry St</t>
  </si>
  <si>
    <t>Watseka</t>
  </si>
  <si>
    <t>GEORGE L PARKER TRUST</t>
  </si>
  <si>
    <t>37-6024498</t>
  </si>
  <si>
    <t>1339 E Empire St</t>
  </si>
  <si>
    <t>TETLAK FOUNDATION</t>
  </si>
  <si>
    <t>34-1880531</t>
  </si>
  <si>
    <t>1900 E 9th St Ste 3200</t>
  </si>
  <si>
    <t>ARTHUR &amp; GESENA GRIFFIN TR</t>
  </si>
  <si>
    <t>36-7167732</t>
  </si>
  <si>
    <t>Po Box 87</t>
  </si>
  <si>
    <t>JJY FAMILY FOUNDATION</t>
  </si>
  <si>
    <t>26-6156331</t>
  </si>
  <si>
    <t>106 W Calendar Ave Ste 232</t>
  </si>
  <si>
    <t>Lagrange</t>
  </si>
  <si>
    <t>BEVERLY J JEWELL MEMORIAL FOUNDATION</t>
  </si>
  <si>
    <t>20-8828495</t>
  </si>
  <si>
    <t>WILLIAM AND ANNA VAN DEN BOSCH GOSPEL FOUNDATION</t>
  </si>
  <si>
    <t>38-3509996</t>
  </si>
  <si>
    <t>8443 Pine Point Dr</t>
  </si>
  <si>
    <t>Newaygo</t>
  </si>
  <si>
    <t>FERRY FAMILY FOUNDATION</t>
  </si>
  <si>
    <t>32-6000096</t>
  </si>
  <si>
    <t>1422 Euclid Ave Ste 1030</t>
  </si>
  <si>
    <t>SUTAR SUTARUK MEYER FOUNDATION</t>
  </si>
  <si>
    <t>26-2377296</t>
  </si>
  <si>
    <t>30600 Nwestern Hwy Ste 245</t>
  </si>
  <si>
    <t>KATHRYN J HODGES CHARITABLE TR</t>
  </si>
  <si>
    <t>31-6553137</t>
  </si>
  <si>
    <t>KATRINA FISCHER FBO SPCA TW</t>
  </si>
  <si>
    <t>52-6968937</t>
  </si>
  <si>
    <t>VANN FAMILY FOUNDATION INC</t>
  </si>
  <si>
    <t>35-2008538</t>
  </si>
  <si>
    <t>11008 Carnoustie Ln</t>
  </si>
  <si>
    <t>SEABOLD CHARITABLE TR 02-14542</t>
  </si>
  <si>
    <t>20-0133251</t>
  </si>
  <si>
    <t>WILFRED J MINKUS CHARITABLE TRUST</t>
  </si>
  <si>
    <t>27-1636169</t>
  </si>
  <si>
    <t>9109 Keystone Ave</t>
  </si>
  <si>
    <t>MARY K GARR SCHOLARSHIP FOUNDATION</t>
  </si>
  <si>
    <t>35-1938040</t>
  </si>
  <si>
    <t>200 E Jackson St</t>
  </si>
  <si>
    <t>MINER FAMILY CHARITABLE TRUST</t>
  </si>
  <si>
    <t>36-7414569</t>
  </si>
  <si>
    <t>6838 E State St</t>
  </si>
  <si>
    <t>GENERATION IV CHARITABLE TRUST</t>
  </si>
  <si>
    <t>38-6781068</t>
  </si>
  <si>
    <t>CRAWFORD FOUNDATION 23-10371</t>
  </si>
  <si>
    <t>04-3567545</t>
  </si>
  <si>
    <t>DEATLEY FAMILY FOUNDATION INC</t>
  </si>
  <si>
    <t>06-1496358</t>
  </si>
  <si>
    <t>1440 County Road Jg</t>
  </si>
  <si>
    <t>Mount Horeb</t>
  </si>
  <si>
    <t>GALVIN FAMILY FOUNDATION</t>
  </si>
  <si>
    <t>20-1850446</t>
  </si>
  <si>
    <t>3777 W Fork Rd</t>
  </si>
  <si>
    <t>MARVIN AND BETTY DANTO FAMILY FOUNDATION</t>
  </si>
  <si>
    <t>20-3896742</t>
  </si>
  <si>
    <t>1700 Stutz Dr Ste 25</t>
  </si>
  <si>
    <t>SHANNON FAM CHARITABLE FOUNDATION TR</t>
  </si>
  <si>
    <t>20-6669463</t>
  </si>
  <si>
    <t>R&amp;C DONOVAN FAMILY FOUNDATION INC</t>
  </si>
  <si>
    <t>22-3844249</t>
  </si>
  <si>
    <t>PATRICIA KISKER FOUNDATION</t>
  </si>
  <si>
    <t>30-6081757</t>
  </si>
  <si>
    <t>TOM AND GENNY SEDLER FAM FOUNDATION</t>
  </si>
  <si>
    <t>31-1680343</t>
  </si>
  <si>
    <t>6045 Bridgetown Rd</t>
  </si>
  <si>
    <t>JEROME AND ILENE COLE FOUNDATION INC</t>
  </si>
  <si>
    <t>36-4039363</t>
  </si>
  <si>
    <t>68 Buckingham Ct</t>
  </si>
  <si>
    <t>ADOLPH &amp; ELEANOR GLABOWICZ FOUNDATION</t>
  </si>
  <si>
    <t>36-4471764</t>
  </si>
  <si>
    <t>39520 N Harmony Ct</t>
  </si>
  <si>
    <t>THE HERMITAGE FOUNDATION</t>
  </si>
  <si>
    <t>36-7129458</t>
  </si>
  <si>
    <t>One S Dearborn</t>
  </si>
  <si>
    <t>METRO HEALTH FOUNDATION</t>
  </si>
  <si>
    <t>38-2100939</t>
  </si>
  <si>
    <t>333 W Fort St Ste 1370</t>
  </si>
  <si>
    <t>VINEYARD FOUNDATION</t>
  </si>
  <si>
    <t>38-3211939</t>
  </si>
  <si>
    <t>LOIS AND LEANORE LINN CHARITABLE FOUNDATION</t>
  </si>
  <si>
    <t>45-3176159</t>
  </si>
  <si>
    <t>10777 N Friendship Rd</t>
  </si>
  <si>
    <t>Casey</t>
  </si>
  <si>
    <t>ABBVIE FOUNDATION</t>
  </si>
  <si>
    <t>46-0827839</t>
  </si>
  <si>
    <t>1 N Waukegan Rd Bldg Ap34-2</t>
  </si>
  <si>
    <t>North Chicago</t>
  </si>
  <si>
    <t>LUNDA CHARITABLE FUND INC</t>
  </si>
  <si>
    <t>46-0836946</t>
  </si>
  <si>
    <t>N7142 Waters Edge Rd</t>
  </si>
  <si>
    <t>BROOKS EMENY CHARITABLE TRUST</t>
  </si>
  <si>
    <t>61-6383442</t>
  </si>
  <si>
    <t>ROGER AND NANCY MCCABE FOUNDATION</t>
  </si>
  <si>
    <t>20-2990948</t>
  </si>
  <si>
    <t>SEMLER FAMILY FOUNDATION INC</t>
  </si>
  <si>
    <t>20-3523866</t>
  </si>
  <si>
    <t>8015 Heyward Dr</t>
  </si>
  <si>
    <t>GENE A SALMON CHARITABLE TRUST</t>
  </si>
  <si>
    <t>20-7135495</t>
  </si>
  <si>
    <t>Po Box 260</t>
  </si>
  <si>
    <t>CHARLTON FAMILY CHARITABLE FOUNDATION</t>
  </si>
  <si>
    <t>20-8679550</t>
  </si>
  <si>
    <t>1949 W Court St</t>
  </si>
  <si>
    <t>ROY AND IRENE RETTINGER FOUNDATION</t>
  </si>
  <si>
    <t>26-0359553</t>
  </si>
  <si>
    <t>THE FOOTPRINTS FOUNDATION</t>
  </si>
  <si>
    <t>26-2982850</t>
  </si>
  <si>
    <t>5901 S La Grange Rd</t>
  </si>
  <si>
    <t>DAVID P SHEETZ FOUNDATION</t>
  </si>
  <si>
    <t>26-4068454</t>
  </si>
  <si>
    <t>303 Blue Ridge Rd</t>
  </si>
  <si>
    <t>SAMUEL M CHERRY MEMORIAL CHARITABLE TR</t>
  </si>
  <si>
    <t>26-6541160</t>
  </si>
  <si>
    <t>111 S Wacker Dr Fl 26</t>
  </si>
  <si>
    <t>MAGIC CHARITABLE FOUNDATION</t>
  </si>
  <si>
    <t>27-4375952</t>
  </si>
  <si>
    <t>27115 N Meadowoods Ln</t>
  </si>
  <si>
    <t>Libertyville</t>
  </si>
  <si>
    <t>JOHN H SMITH JR &amp; JEANETTE M SMITH CHARITABLE FOUNDATION</t>
  </si>
  <si>
    <t>27-6209564</t>
  </si>
  <si>
    <t>CHARLES M PUGLIESE &amp; THELMA M PUGLIESE CHARITABLE FOUNDATION</t>
  </si>
  <si>
    <t>34-1784660</t>
  </si>
  <si>
    <t>Po Box 2620</t>
  </si>
  <si>
    <t>Wintersville</t>
  </si>
  <si>
    <t>MARION G RESCH FOUNDATION</t>
  </si>
  <si>
    <t>34-1853367</t>
  </si>
  <si>
    <t>THE WILLIAM EDITH CHARLES AND SOPHIE HUENEKE FOUNDATION TRUST</t>
  </si>
  <si>
    <t>34-7147551</t>
  </si>
  <si>
    <t>TRINITY HORIZONS INC</t>
  </si>
  <si>
    <t>35-1980930</t>
  </si>
  <si>
    <t>817 N 12th St</t>
  </si>
  <si>
    <t>BOYLE FAMILY FOUNDATION</t>
  </si>
  <si>
    <t>36-4057351</t>
  </si>
  <si>
    <t>1133 W 35th St</t>
  </si>
  <si>
    <t>JUANITA JOHNSON GOODWIN FOUNDATION</t>
  </si>
  <si>
    <t>86-6316316</t>
  </si>
  <si>
    <t>THE LEFEVRE FOUNDATION</t>
  </si>
  <si>
    <t>31-1120613</t>
  </si>
  <si>
    <t>10 W Locust St</t>
  </si>
  <si>
    <t>MILTON H DRESNER FOUNDATION INC</t>
  </si>
  <si>
    <t>35-2204352</t>
  </si>
  <si>
    <t>28777 Northwestern Hwy</t>
  </si>
  <si>
    <t>SUNSHINE THROUGH GOLF FOUNDATION</t>
  </si>
  <si>
    <t>36-2374223</t>
  </si>
  <si>
    <t>11855 Archer Ave</t>
  </si>
  <si>
    <t>HERM AND SHIRLEY GEERS FOUNDATION</t>
  </si>
  <si>
    <t>46-1534415</t>
  </si>
  <si>
    <t>320 Cologne</t>
  </si>
  <si>
    <t>DEKALB COUNTY COMMUNITY FOUNDATION</t>
  </si>
  <si>
    <t>36-3788167</t>
  </si>
  <si>
    <t>2600 DeKalb Avenue</t>
  </si>
  <si>
    <t>SHAW FAM SUPPORTING ORGANIZATION TR</t>
  </si>
  <si>
    <t>54-6587682</t>
  </si>
  <si>
    <t>1580 Sherman Ave Apt 304</t>
  </si>
  <si>
    <t>JD BERGMAN CHARITABLE FOUNDATION</t>
  </si>
  <si>
    <t>20-3749879</t>
  </si>
  <si>
    <t>108 E Ogden Ave</t>
  </si>
  <si>
    <t>ALICE WELSH SKILLING FOUNDATION</t>
  </si>
  <si>
    <t>26-3288279</t>
  </si>
  <si>
    <t>150 N Michigan Ave Ste 2100</t>
  </si>
  <si>
    <t>MARCIA TURNER KREYLING CHARITABLE FOUNDATION</t>
  </si>
  <si>
    <t>27-6584006</t>
  </si>
  <si>
    <t>CHRIS AND IRENE SETH FOUNDATION</t>
  </si>
  <si>
    <t>36-4144869</t>
  </si>
  <si>
    <t>1555 N Astor</t>
  </si>
  <si>
    <t>MCQUEEN CHARITABLE IRRV TR</t>
  </si>
  <si>
    <t>36-7396983</t>
  </si>
  <si>
    <t>FRANKFORT SCHOLARSHIP FUND</t>
  </si>
  <si>
    <t>38-6068228</t>
  </si>
  <si>
    <t>PALM BEACH COMMUNITY CHEST UNITED WAY CHARITABLE TRUST 34222298</t>
  </si>
  <si>
    <t>65-6372446</t>
  </si>
  <si>
    <t>THE MARIE G WYNN PRIVATE FOUNDATION</t>
  </si>
  <si>
    <t>91-2162457</t>
  </si>
  <si>
    <t>ANTHONY J AND ELAINE M SCRUGLI CHARITABLE TRUST FOUNDATION</t>
  </si>
  <si>
    <t>27-4405237</t>
  </si>
  <si>
    <t>15 Salt Creek Ln Ste 312</t>
  </si>
  <si>
    <t>RAYMOND AND IRENE WILBORN CHARITABLE FOUNDATION</t>
  </si>
  <si>
    <t>31-1560453</t>
  </si>
  <si>
    <t>2102 Ashcraft Ln</t>
  </si>
  <si>
    <t>GERING FAMILY FOUNDATION INC</t>
  </si>
  <si>
    <t>39-1874006</t>
  </si>
  <si>
    <t>117 S 3rd Ave</t>
  </si>
  <si>
    <t>THOMAS J &amp; OLIVE C WATSON FOUNDATION</t>
  </si>
  <si>
    <t>13-7371044</t>
  </si>
  <si>
    <t>MULLOOLY CAREY FOUNDATION</t>
  </si>
  <si>
    <t>27-2313839</t>
  </si>
  <si>
    <t>GRACE ROBERTI FOUNDATION</t>
  </si>
  <si>
    <t>36-4401144</t>
  </si>
  <si>
    <t>3708 Alden Rd</t>
  </si>
  <si>
    <t>JANE AND TAD SHEPARD FAMILY FOUNDATION INC</t>
  </si>
  <si>
    <t>56-2547434</t>
  </si>
  <si>
    <t>398 Willow Ln</t>
  </si>
  <si>
    <t>Menasha</t>
  </si>
  <si>
    <t>SPIDER SHORES FOUNDATION INC</t>
  </si>
  <si>
    <t>20-5706620</t>
  </si>
  <si>
    <t>4 Gusty Ct</t>
  </si>
  <si>
    <t>Verona</t>
  </si>
  <si>
    <t>GOOD HEART WORK SMART FOUNDATION</t>
  </si>
  <si>
    <t>20-5836042</t>
  </si>
  <si>
    <t>830 North Blvd</t>
  </si>
  <si>
    <t>THE MARY RENKERT WENDLING FOUNDATION</t>
  </si>
  <si>
    <t>31-1610141</t>
  </si>
  <si>
    <t>4900 Tiedman Rd 1st Fl</t>
  </si>
  <si>
    <t>CHARLEY CREEK FOUNDATION INC</t>
  </si>
  <si>
    <t>35-2132203</t>
  </si>
  <si>
    <t>Po Box 454</t>
  </si>
  <si>
    <t>MATTHEW FRANK MOORE FOUNDATION INC</t>
  </si>
  <si>
    <t>35-2129622</t>
  </si>
  <si>
    <t>14259 Shoreline Dr</t>
  </si>
  <si>
    <t>Granger</t>
  </si>
  <si>
    <t>NETTIE GERTRUDE BROWN MAROHN TEST CHARITABLE TR</t>
  </si>
  <si>
    <t>35-6743302</t>
  </si>
  <si>
    <t>Po Box 68</t>
  </si>
  <si>
    <t>Morgantown</t>
  </si>
  <si>
    <t>FRANCIS J &amp; PATRICIA A HOULIHAN FOUNDATION</t>
  </si>
  <si>
    <t>36-4121030</t>
  </si>
  <si>
    <t>728 Florsheim Dr Ste 13</t>
  </si>
  <si>
    <t>THE GROWMARK FOUNDATION</t>
  </si>
  <si>
    <t>37-1401632</t>
  </si>
  <si>
    <t>Po Box 2500</t>
  </si>
  <si>
    <t>NEW VISIONS FOUNDATIONS</t>
  </si>
  <si>
    <t>36-4291720</t>
  </si>
  <si>
    <t>485 Half Day Rd</t>
  </si>
  <si>
    <t>ROBERT NORRIS CHARITABLE FOUNDATION</t>
  </si>
  <si>
    <t>36-4452976</t>
  </si>
  <si>
    <t>3400 Greenbriar Ln</t>
  </si>
  <si>
    <t>Riverwoods</t>
  </si>
  <si>
    <t>MADELEINE TOULA TRUST PT7694</t>
  </si>
  <si>
    <t>13-6036659</t>
  </si>
  <si>
    <t>CHRIS GERMAN MEMORIAL FUND TAI 0400178600</t>
  </si>
  <si>
    <t>20-1701357</t>
  </si>
  <si>
    <t>KAVANAUGH FAMILY FOUNDATION</t>
  </si>
  <si>
    <t>26-1579335</t>
  </si>
  <si>
    <t>1401 Brook Dr</t>
  </si>
  <si>
    <t>CRONK FAMILY FOUNDATION</t>
  </si>
  <si>
    <t>75-3025533</t>
  </si>
  <si>
    <t>13 Natoma Dr</t>
  </si>
  <si>
    <t>BACCA FOUNDATION</t>
  </si>
  <si>
    <t>38-6981808</t>
  </si>
  <si>
    <t>GOLDEN &amp; LILLIAN M FULLER CHAR T A DTD 043079 FBO LUTH CHURCH MO</t>
  </si>
  <si>
    <t>38-6400225</t>
  </si>
  <si>
    <t>JEAN THOMAS LAMBERT FOUNDATION</t>
  </si>
  <si>
    <t>34-1897221</t>
  </si>
  <si>
    <t>MONTEI FOUNDATION</t>
  </si>
  <si>
    <t>31-1736155</t>
  </si>
  <si>
    <t>CKT FOUNDATION</t>
  </si>
  <si>
    <t>20-3927820</t>
  </si>
  <si>
    <t>836 Centennial Way Ste 110</t>
  </si>
  <si>
    <t>ARVIN SANGO FOUNDATION INC</t>
  </si>
  <si>
    <t>35-2062360</t>
  </si>
  <si>
    <t>2905 Wilson Ave</t>
  </si>
  <si>
    <t>HOWARD B BERNICK FOUNDATION</t>
  </si>
  <si>
    <t>20-8042481</t>
  </si>
  <si>
    <t>401 N Michigan Ave Ste 1818</t>
  </si>
  <si>
    <t>HERMAN J ALBRECHT LIBRARY OF HISTORICAL ARCHITECTURE INC</t>
  </si>
  <si>
    <t>30-0377654</t>
  </si>
  <si>
    <t>LOWELL N JOHNSON CHARITABLE FOUNDATION</t>
  </si>
  <si>
    <t>46-0484573</t>
  </si>
  <si>
    <t>NB&amp;T CHARITABLE TR</t>
  </si>
  <si>
    <t>26-6654290</t>
  </si>
  <si>
    <t>BOWLING GREEN COMMUNITY FOUNDATION INC</t>
  </si>
  <si>
    <t>34-1790526</t>
  </si>
  <si>
    <t>Po Box 1175</t>
  </si>
  <si>
    <t>Montgomery County Community Foundation, Inc.</t>
  </si>
  <si>
    <t>35-1836315</t>
  </si>
  <si>
    <t>PO Box 334</t>
  </si>
  <si>
    <t>119 E Main</t>
  </si>
  <si>
    <t>Crawfordsville</t>
  </si>
  <si>
    <t>RANGER FOUNDATION</t>
  </si>
  <si>
    <t>38-3499187</t>
  </si>
  <si>
    <t>101 N Main St # 7</t>
  </si>
  <si>
    <t>BENNACK-POLAN FOUNDATION</t>
  </si>
  <si>
    <t>20-3981786</t>
  </si>
  <si>
    <t>J HARRINGTON &amp; MARIE GLIDDEN FOUNDATION</t>
  </si>
  <si>
    <t>34-1881366</t>
  </si>
  <si>
    <t>10 W 2nd St 26th Fl</t>
  </si>
  <si>
    <t>SACKS FAMILY FOUNDATION</t>
  </si>
  <si>
    <t>36-4053778</t>
  </si>
  <si>
    <t>1850 2nd St Ste 201</t>
  </si>
  <si>
    <t>RAWLEY FOUNDATION</t>
  </si>
  <si>
    <t>76-6124547</t>
  </si>
  <si>
    <t>KATHLEEN AND DAVID KENNEDY FOUNDATION</t>
  </si>
  <si>
    <t>26-1292997</t>
  </si>
  <si>
    <t>150 King Muir Rd</t>
  </si>
  <si>
    <t>BLACKFORD COUNTY COMMUNITY FOUNDATION</t>
  </si>
  <si>
    <t>35-1772356</t>
  </si>
  <si>
    <t>Po Box 327</t>
  </si>
  <si>
    <t>Hartford City</t>
  </si>
  <si>
    <t>LSS FOUNDATION INC</t>
  </si>
  <si>
    <t>39-1242451</t>
  </si>
  <si>
    <t>647 W Virginia St Ste 300</t>
  </si>
  <si>
    <t>GARRETT FAMILY FOUNDATION</t>
  </si>
  <si>
    <t>20-3662445</t>
  </si>
  <si>
    <t>1181 Melody Rd</t>
  </si>
  <si>
    <t>KATZ FAMILY FOUNDATION</t>
  </si>
  <si>
    <t>35-2028874</t>
  </si>
  <si>
    <t>2116 Jefferson St</t>
  </si>
  <si>
    <t>JOHN H SCHNATTER FAMILY FOUNDATION INC</t>
  </si>
  <si>
    <t>31-1532974</t>
  </si>
  <si>
    <t>11411 Park Rd</t>
  </si>
  <si>
    <t>Anchorage</t>
  </si>
  <si>
    <t>JOHN A &amp; MARLENE L BOLL FOUNDATION</t>
  </si>
  <si>
    <t>38-2708121</t>
  </si>
  <si>
    <t>100 Maple Park Blvd Ste 118</t>
  </si>
  <si>
    <t>St Clr Shores</t>
  </si>
  <si>
    <t>GENESEO FOUNDATION</t>
  </si>
  <si>
    <t>36-6079604</t>
  </si>
  <si>
    <t>Po Box 89</t>
  </si>
  <si>
    <t>Geneseo</t>
  </si>
  <si>
    <t>MARGARET COLE RICHARDS CHARITABLE FOUNDATION INC</t>
  </si>
  <si>
    <t>35-2063157</t>
  </si>
  <si>
    <t>7643 William Penn Pl</t>
  </si>
  <si>
    <t>CHARLES W PALMER FAMILY FOUNDATION</t>
  </si>
  <si>
    <t>36-7334207</t>
  </si>
  <si>
    <t>SALLY AND MILES BERGER FAMILY FOUNDATION</t>
  </si>
  <si>
    <t>36-4120417</t>
  </si>
  <si>
    <t>350 W Hubbard St Ste 222</t>
  </si>
  <si>
    <t>ANDREA L &amp; LAWRENCE A WOLFE FAMILY FOUNDATION</t>
  </si>
  <si>
    <t>38-3323521</t>
  </si>
  <si>
    <t>8655 E 8 Mile Rd</t>
  </si>
  <si>
    <t>JOHN C KULIS CHARITABLE FOUNDATION</t>
  </si>
  <si>
    <t>46-3167114</t>
  </si>
  <si>
    <t>216 S Jefferson St Ste 301</t>
  </si>
  <si>
    <t>CARROLL CHARITIES INC</t>
  </si>
  <si>
    <t>34-1810715</t>
  </si>
  <si>
    <t>196 Wayne Avenue Nw</t>
  </si>
  <si>
    <t>Carrollton</t>
  </si>
  <si>
    <t>ANDERSONS INC CHARITABLE FOUNDATION</t>
  </si>
  <si>
    <t>26-1665008</t>
  </si>
  <si>
    <t>480 W Dussel Dr</t>
  </si>
  <si>
    <t>ATHENAEUM FOUNDATION INC</t>
  </si>
  <si>
    <t>35-1834667</t>
  </si>
  <si>
    <t>401 E Michigan Street</t>
  </si>
  <si>
    <t>ILLINOIS COMMUNITY COLLEGE SYSTEM FOUNDATION</t>
  </si>
  <si>
    <t>37-1293039</t>
  </si>
  <si>
    <t>401 E Capitol Ave</t>
  </si>
  <si>
    <t>JOY FOUNDATION</t>
  </si>
  <si>
    <t>36-4410533</t>
  </si>
  <si>
    <t>209 E Lake Shore Drive 12e</t>
  </si>
  <si>
    <t>BERLIN FAMILY EDUCATIONAL FOUNDATION</t>
  </si>
  <si>
    <t>34-1817284</t>
  </si>
  <si>
    <t>17181 Curry Ln</t>
  </si>
  <si>
    <t>Auburn Twp</t>
  </si>
  <si>
    <t>MEAD FOUNDATION</t>
  </si>
  <si>
    <t>34-1865129</t>
  </si>
  <si>
    <t>CECIL A AND MABEL LENE HAMMAN FOUNDATION INC</t>
  </si>
  <si>
    <t>26-2724931</t>
  </si>
  <si>
    <t>2709 Washington Ave Ste 18</t>
  </si>
  <si>
    <t>Eavansville</t>
  </si>
  <si>
    <t>HINTZ FAMILY FUND INC</t>
  </si>
  <si>
    <t>26-3843309</t>
  </si>
  <si>
    <t>BONDI FOUNDATION INC</t>
  </si>
  <si>
    <t>13-4015931</t>
  </si>
  <si>
    <t>CORNUCOPIA FAMILY FOUNDATION</t>
  </si>
  <si>
    <t>20-8080952</t>
  </si>
  <si>
    <t>231 W Fulton</t>
  </si>
  <si>
    <t>ALVERIN M CORNELL FOUNDATION</t>
  </si>
  <si>
    <t>36-7371436</t>
  </si>
  <si>
    <t>495 Central Ave Ste 101</t>
  </si>
  <si>
    <t>MARY ANDERSON HARRISON FOUNDATION</t>
  </si>
  <si>
    <t>26-0433030</t>
  </si>
  <si>
    <t>DAN J EPSTEIN FAMILY FOUNDATION</t>
  </si>
  <si>
    <t>26-3807997</t>
  </si>
  <si>
    <t>3240 N Lake Shore Dr Apt 8b</t>
  </si>
  <si>
    <t>PRAIRIE LANDS FOUNDATION</t>
  </si>
  <si>
    <t>37-6018736</t>
  </si>
  <si>
    <t>C/O Bluestem Bank 104 E Locust</t>
  </si>
  <si>
    <t>Fairbury</t>
  </si>
  <si>
    <t>BAYER FAMILY FOUNDATION</t>
  </si>
  <si>
    <t>06-1789656</t>
  </si>
  <si>
    <t>7001 S Harlem Ave</t>
  </si>
  <si>
    <t>Bedford Park</t>
  </si>
  <si>
    <t>J W MOORE FAMILY FOUNDATION</t>
  </si>
  <si>
    <t>26-1595754</t>
  </si>
  <si>
    <t>C/O Mai 1360 East 9th Street</t>
  </si>
  <si>
    <t>MARKS LEGACY FOUNDATION</t>
  </si>
  <si>
    <t>37-1709152</t>
  </si>
  <si>
    <t>1933 N Burling St</t>
  </si>
  <si>
    <t>CORNELIA T BAILEY CHARITABLE TRUST</t>
  </si>
  <si>
    <t>65-6474256</t>
  </si>
  <si>
    <t>WHIPPLE SCHOLARSHIP FUND</t>
  </si>
  <si>
    <t>36-7516949</t>
  </si>
  <si>
    <t>Po Box 268</t>
  </si>
  <si>
    <t>Hickman</t>
  </si>
  <si>
    <t>DUBOIS COUNTY COMMUNITY FOUNDATION INC</t>
  </si>
  <si>
    <t>35-1990305</t>
  </si>
  <si>
    <t>PO Box 269</t>
  </si>
  <si>
    <t>Jasper</t>
  </si>
  <si>
    <t>MARGUERITE A WALK PRIVATE FOUNDATION CORP</t>
  </si>
  <si>
    <t>20-1069235</t>
  </si>
  <si>
    <t>HENRY AND MARY ELLEN BELLAIMEYFOUNDATION</t>
  </si>
  <si>
    <t>20-4767807</t>
  </si>
  <si>
    <t>304 S Junction Ave</t>
  </si>
  <si>
    <t>TWO SEVEN OH INC</t>
  </si>
  <si>
    <t>20-5576623</t>
  </si>
  <si>
    <t>Po Box 1725</t>
  </si>
  <si>
    <t>BENT FAMILY FOUNDATION</t>
  </si>
  <si>
    <t>26-2423639</t>
  </si>
  <si>
    <t>HARSHAW FAMILY FOUNDATION INC</t>
  </si>
  <si>
    <t>27-4251521</t>
  </si>
  <si>
    <t>6104 Regal Springs Dr</t>
  </si>
  <si>
    <t>MACOISDEALBHAIGH FOUNDATION DTD 11051999</t>
  </si>
  <si>
    <t>36-7291509</t>
  </si>
  <si>
    <t>1202 E Clarendon St</t>
  </si>
  <si>
    <t>THE ERIC AND JOAN NORGAARD CHARITABLE TRUST</t>
  </si>
  <si>
    <t>36-7386936</t>
  </si>
  <si>
    <t>3906 Steeple Run</t>
  </si>
  <si>
    <t>PEARSON FAMILY FOUNDATION</t>
  </si>
  <si>
    <t>45-2133889</t>
  </si>
  <si>
    <t>11402 N Canterbury Ln</t>
  </si>
  <si>
    <t>DOROTHY LOUISE KYLER FOUNDATION INC</t>
  </si>
  <si>
    <t>45-3987947</t>
  </si>
  <si>
    <t>Po Box 820</t>
  </si>
  <si>
    <t>WALTER W AND THELMA M BORN FOUNDATION</t>
  </si>
  <si>
    <t>55-0869606</t>
  </si>
  <si>
    <t>106 S Main St 16th</t>
  </si>
  <si>
    <t>NEW CENTER FOUNDATION</t>
  </si>
  <si>
    <t>38-2271575</t>
  </si>
  <si>
    <t>3939 Woodward Avenue No 100</t>
  </si>
  <si>
    <t>W S AND LOIS VANDALSON FOUNDATION</t>
  </si>
  <si>
    <t>38-3607246</t>
  </si>
  <si>
    <t>2347 W Dowling Rd</t>
  </si>
  <si>
    <t>REDIEHS FAMILY FOUNDATION</t>
  </si>
  <si>
    <t>36-4320935</t>
  </si>
  <si>
    <t>800 W 79th St</t>
  </si>
  <si>
    <t>Willowbrook</t>
  </si>
  <si>
    <t>SUEDHOFF MEMORIAL TRUST INC</t>
  </si>
  <si>
    <t>35-1969360</t>
  </si>
  <si>
    <t>3326 Mallard Cove Ln</t>
  </si>
  <si>
    <t>JONES FAMILY FOUNDATION</t>
  </si>
  <si>
    <t>26-1548355</t>
  </si>
  <si>
    <t>Po Box 575</t>
  </si>
  <si>
    <t>Saline</t>
  </si>
  <si>
    <t>ZLOTOFF GENERATIONS FUND</t>
  </si>
  <si>
    <t>26-4094446</t>
  </si>
  <si>
    <t>280 Daines St Ste 300</t>
  </si>
  <si>
    <t>DESCANSO FOUNDATION</t>
  </si>
  <si>
    <t>34-1927735</t>
  </si>
  <si>
    <t>C/O Hartland 1100 Superior Ave East</t>
  </si>
  <si>
    <t>HERBST FAMILY FOUNDATION</t>
  </si>
  <si>
    <t>36-4333045</t>
  </si>
  <si>
    <t>1040 N Lake Shore Drive</t>
  </si>
  <si>
    <t>CHARLES W &amp; PATRICIA S BIDWELL CHARITABLE FOUNDATION</t>
  </si>
  <si>
    <t>36-4479735</t>
  </si>
  <si>
    <t>Po Box 2541</t>
  </si>
  <si>
    <t>Willard G Pierce and Jessie M Pierce Foundation</t>
  </si>
  <si>
    <t>38-2820095</t>
  </si>
  <si>
    <t>701 W. Cloverdale Rd</t>
  </si>
  <si>
    <t>C60 (Environmental Education and Outdoor Survival Programs)</t>
  </si>
  <si>
    <t>JOHN &amp; KATHY REINHART FAMILY FOUNDATION INC</t>
  </si>
  <si>
    <t>46-1384494</t>
  </si>
  <si>
    <t>BILL AND KATHY ONEILL FOUNDATION</t>
  </si>
  <si>
    <t>46-4251139</t>
  </si>
  <si>
    <t>38155 S Woodland Rd</t>
  </si>
  <si>
    <t>NEGRIN FOUNDATION</t>
  </si>
  <si>
    <t>91-2026155</t>
  </si>
  <si>
    <t>FIRST BUSINESS CHARITABLE FOUNDATION INC</t>
  </si>
  <si>
    <t>42-1614475</t>
  </si>
  <si>
    <t>401 Charmany Dr</t>
  </si>
  <si>
    <t>WILLIAM AND AUDREY FARBER FAMILY FOUNDATION</t>
  </si>
  <si>
    <t>38-3159762</t>
  </si>
  <si>
    <t>32640 Whatley Rd</t>
  </si>
  <si>
    <t>PETER AND MARY LEVIN FAMILY FOUNDATION</t>
  </si>
  <si>
    <t>20-3841581</t>
  </si>
  <si>
    <t>2121 Alpine Pl Apt 1502</t>
  </si>
  <si>
    <t>HEALTH FOUNDATION OF GREATER MASSILLON</t>
  </si>
  <si>
    <t>31-1516370</t>
  </si>
  <si>
    <t>1237 Lincoln Way E</t>
  </si>
  <si>
    <t>BRUNSWICK FOUNDATION INC</t>
  </si>
  <si>
    <t>36-6033576</t>
  </si>
  <si>
    <t>1 N Field Ct</t>
  </si>
  <si>
    <t>SAMERIAN FOUNDATION INC</t>
  </si>
  <si>
    <t>37-1439047</t>
  </si>
  <si>
    <t>9650 Commerce Dr Ste 532</t>
  </si>
  <si>
    <t>JAMES AND JUDITH K DIMON FOUNDATION</t>
  </si>
  <si>
    <t>13-3922199</t>
  </si>
  <si>
    <t>DEARBORN COMMUNITY FOUNDATION INC</t>
  </si>
  <si>
    <t>35-2036110</t>
  </si>
  <si>
    <t>322 Walnut St</t>
  </si>
  <si>
    <t>RONALD &amp; JOYCE WANEK FOUNDATION LTD</t>
  </si>
  <si>
    <t>39-1948292</t>
  </si>
  <si>
    <t>1 Ashley Way</t>
  </si>
  <si>
    <t>Arcadia</t>
  </si>
  <si>
    <t>WALTER H &amp; PEG MEYER FOUNDATION INC</t>
  </si>
  <si>
    <t>20-0463265</t>
  </si>
  <si>
    <t>MAURICE AND MICHELE TAYLOR FOUNDATION</t>
  </si>
  <si>
    <t>36-4224065</t>
  </si>
  <si>
    <t>500 Maine</t>
  </si>
  <si>
    <t>CHARLES H GERSHENSON TR UA 081077</t>
  </si>
  <si>
    <t>38-6454423</t>
  </si>
  <si>
    <t>2290 First National Bldg</t>
  </si>
  <si>
    <t>PRESCOTT FAMILY FOUNDATION INC</t>
  </si>
  <si>
    <t>06-1667125</t>
  </si>
  <si>
    <t>2412 W Washington St Ste 200</t>
  </si>
  <si>
    <t>West Bend</t>
  </si>
  <si>
    <t>FINISH LINE YOUTH FOUNDATION INC</t>
  </si>
  <si>
    <t>35-2059749</t>
  </si>
  <si>
    <t>3308 N Mitthoeffer Rd</t>
  </si>
  <si>
    <t>MARY L FURSCOTT CHARITABLE FOUNDATION</t>
  </si>
  <si>
    <t>45-1290337</t>
  </si>
  <si>
    <t>1 Indiana Sq Ste 3500</t>
  </si>
  <si>
    <t xml:space="preserve">DOUGLASS ARCHIBALD JR CHAR TUW UW DTD 040897 31-G057-01-6             </t>
  </si>
  <si>
    <t>39-6654547</t>
  </si>
  <si>
    <t>P.O. Box 2427</t>
  </si>
  <si>
    <t>MUSKINGUM COUNTY COMMUNITY FOUNDATION</t>
  </si>
  <si>
    <t>31-1147022</t>
  </si>
  <si>
    <t>534 Putnam Avenue</t>
  </si>
  <si>
    <t>Zanesville</t>
  </si>
  <si>
    <t>CHARLEVOIX COUNTY COMMUNITY FOUNDATION</t>
  </si>
  <si>
    <t>38-3033739</t>
  </si>
  <si>
    <t>507 Water Street</t>
  </si>
  <si>
    <t>Suite 6</t>
  </si>
  <si>
    <t>East Jordan</t>
  </si>
  <si>
    <t>M&amp;M AREA COMMUNITY FOUNDATION</t>
  </si>
  <si>
    <t>38-3264725</t>
  </si>
  <si>
    <t>Po Box 846</t>
  </si>
  <si>
    <t>Menominee</t>
  </si>
  <si>
    <t>Natural Resources Foundation of Wisconsin, Inc.</t>
  </si>
  <si>
    <t>39-1572034</t>
  </si>
  <si>
    <t>PO Box 2317</t>
  </si>
  <si>
    <t>C30 (Natural Resource Conservation and Protection)</t>
  </si>
  <si>
    <t>THE CROSSROADS FOUNDATION</t>
  </si>
  <si>
    <t>20-3966213</t>
  </si>
  <si>
    <t>4101 Reeds Lake Blvd Se</t>
  </si>
  <si>
    <t>KARIS FOUNDATION INC</t>
  </si>
  <si>
    <t>27-1486201</t>
  </si>
  <si>
    <t>4501 N Christina Ln</t>
  </si>
  <si>
    <t>JOSEPH AND NANCY KEITHLEY FOUNDATION</t>
  </si>
  <si>
    <t>34-1926208</t>
  </si>
  <si>
    <t>C/O Chess Financial 1100 Superior</t>
  </si>
  <si>
    <t>OLIN B AND DESTA SCHWAB FOUNDATION INC</t>
  </si>
  <si>
    <t>35-2284008</t>
  </si>
  <si>
    <t>110 W Berry Street</t>
  </si>
  <si>
    <t>HEESTAND FOUNDATION INC</t>
  </si>
  <si>
    <t>36-3996303</t>
  </si>
  <si>
    <t>1448 N Lake Shore Dr Unit 15-C</t>
  </si>
  <si>
    <t>STANTON R COOK FOUNDATION</t>
  </si>
  <si>
    <t>36-7166361</t>
  </si>
  <si>
    <t>224 Raleigh Rd</t>
  </si>
  <si>
    <t>MAURICE A AND JUNE C ROBINSON FAMIL FOUNDATION INC</t>
  </si>
  <si>
    <t>39-1831176</t>
  </si>
  <si>
    <t>1321 Kellogg St</t>
  </si>
  <si>
    <t>SAYDE E MELET TR FBO WVU FOUNDATION 9357566100</t>
  </si>
  <si>
    <t>54-6414076</t>
  </si>
  <si>
    <t>LAKESHORE COMMUNITY FOUNDATION INC</t>
  </si>
  <si>
    <t>27-0978059</t>
  </si>
  <si>
    <t>915 Memorial Dr</t>
  </si>
  <si>
    <t>Manitowoc</t>
  </si>
  <si>
    <t>JONES DAY FOUNDATION</t>
  </si>
  <si>
    <t>34-1570455</t>
  </si>
  <si>
    <t>901 Lakeside Ave E</t>
  </si>
  <si>
    <t>I B H FOUNDATION INC</t>
  </si>
  <si>
    <t>34-1597850</t>
  </si>
  <si>
    <t>3445 S Main St</t>
  </si>
  <si>
    <t>THE GLEN AT ST JOSEPH</t>
  </si>
  <si>
    <t>55-0822964</t>
  </si>
  <si>
    <t>611 St Joseph Ave</t>
  </si>
  <si>
    <t>DEAN FOUNDATION INCORPORATED</t>
  </si>
  <si>
    <t>75-2637602</t>
  </si>
  <si>
    <t>ROMICH FOUNDATION</t>
  </si>
  <si>
    <t>20-3991275</t>
  </si>
  <si>
    <t>105 W Pine St</t>
  </si>
  <si>
    <t>JOHN SCULLY FOUNDATION</t>
  </si>
  <si>
    <t>26-6003516</t>
  </si>
  <si>
    <t>LA PORTE HOSPITAL FOUNDATION INC</t>
  </si>
  <si>
    <t>31-0952775</t>
  </si>
  <si>
    <t>Po Box 250</t>
  </si>
  <si>
    <t>Laporte</t>
  </si>
  <si>
    <t>RIDGEWAY FOUNDATION</t>
  </si>
  <si>
    <t>31-1712320</t>
  </si>
  <si>
    <t>1283 Michigan Ave</t>
  </si>
  <si>
    <t>AGNES SMITH MCDOWELL TR</t>
  </si>
  <si>
    <t>32-0186585</t>
  </si>
  <si>
    <t>103 Court St</t>
  </si>
  <si>
    <t>Cynthiana</t>
  </si>
  <si>
    <t>JIM AND DIANA HUCKLE FAMILY FDN</t>
  </si>
  <si>
    <t>37-6474117</t>
  </si>
  <si>
    <t>6291 Peninsula Dr</t>
  </si>
  <si>
    <t>ZATKOFF FAMILY FOUNDATION</t>
  </si>
  <si>
    <t>38-3574982</t>
  </si>
  <si>
    <t>23230 Industrial Park Drive</t>
  </si>
  <si>
    <t>LESTER &amp; FRANCES JOHNSON FOUNDATION INC</t>
  </si>
  <si>
    <t>39-1988285</t>
  </si>
  <si>
    <t>701 Deming Way Ste 100</t>
  </si>
  <si>
    <t>WONDERFUL LIFE FOUNDATION</t>
  </si>
  <si>
    <t>54-1995591</t>
  </si>
  <si>
    <t>6250 N River Rd Ste 9000</t>
  </si>
  <si>
    <t>LAKE COUNTY COMMUNITY FOUNDATION</t>
  </si>
  <si>
    <t>20-3654399</t>
  </si>
  <si>
    <t>225 N Michigan Ave Ste 2200</t>
  </si>
  <si>
    <t>CHAPEL-LAKES AREA FOUNDATION INC</t>
  </si>
  <si>
    <t>39-1694901</t>
  </si>
  <si>
    <t>1 W Griffith Ctr</t>
  </si>
  <si>
    <t>Alsip</t>
  </si>
  <si>
    <t>WAUKESHA COUNTY COMMUNITY FOUNDATION INC</t>
  </si>
  <si>
    <t>39-1969122</t>
  </si>
  <si>
    <t>2727 N. Grandview Boulevard</t>
  </si>
  <si>
    <t>Suite 122</t>
  </si>
  <si>
    <t>THE SCIOTO COUNTY AREA FOUNDATION</t>
  </si>
  <si>
    <t>51-0157026</t>
  </si>
  <si>
    <t>Po Box 911</t>
  </si>
  <si>
    <t>GREGG AARON ZALE FAMILY FOUNDATION</t>
  </si>
  <si>
    <t>36-4333001</t>
  </si>
  <si>
    <t>63 Maple Hill Rd</t>
  </si>
  <si>
    <t>HCR MANORCARE FOUNDATION INC</t>
  </si>
  <si>
    <t>52-2031975</t>
  </si>
  <si>
    <t>Po Box 10086</t>
  </si>
  <si>
    <t>WARRINGTON FOUNDATION</t>
  </si>
  <si>
    <t>31-1582067</t>
  </si>
  <si>
    <t>BLUE RIVER FOUNDATION INC</t>
  </si>
  <si>
    <t>35-1756331</t>
  </si>
  <si>
    <t>54 W. Broadway St., Suite 1</t>
  </si>
  <si>
    <t>Shelbyville</t>
  </si>
  <si>
    <t>JAMES C ACHESON FOUNDATION</t>
  </si>
  <si>
    <t>38-3463509</t>
  </si>
  <si>
    <t>405 Water St Ste 200</t>
  </si>
  <si>
    <t>Saginaw Community Foundation</t>
  </si>
  <si>
    <t>38-2474297</t>
  </si>
  <si>
    <t>1 Tuscola St</t>
  </si>
  <si>
    <t>Community Foundation for Southeast Michigan</t>
  </si>
  <si>
    <t>38-2530980</t>
  </si>
  <si>
    <t>333 W Fort St</t>
  </si>
  <si>
    <t>Ste 2010</t>
  </si>
  <si>
    <t>TROTT FOUNDATION</t>
  </si>
  <si>
    <t>20-0157628</t>
  </si>
  <si>
    <t>31440 Northwestern Hwy Ste 300</t>
  </si>
  <si>
    <t>MOSCONE FAMILY FOUNDATION</t>
  </si>
  <si>
    <t>20-0202931</t>
  </si>
  <si>
    <t>382 Cranbrook Ct</t>
  </si>
  <si>
    <t>LONGABERGER FOUNDATION</t>
  </si>
  <si>
    <t>31-1575931</t>
  </si>
  <si>
    <t>1 Miranova Pl Apt 1425</t>
  </si>
  <si>
    <t>HAGEMAN FOUNDATION INC</t>
  </si>
  <si>
    <t>20-5274525</t>
  </si>
  <si>
    <t>8910 Purdue Rd Ste 600</t>
  </si>
  <si>
    <t>IPALCO FOUNDATION INC</t>
  </si>
  <si>
    <t>35-2061820</t>
  </si>
  <si>
    <t>1 Monument Cir</t>
  </si>
  <si>
    <t>STURGIS AREA COMMUNITY FOUNDATION</t>
  </si>
  <si>
    <t>38-3649922</t>
  </si>
  <si>
    <t>310 N Franks Ave</t>
  </si>
  <si>
    <t>Sturgis</t>
  </si>
  <si>
    <t>MARION A &amp; RUTH K SHERWOOD FAMILY FUND</t>
  </si>
  <si>
    <t>38-3645324</t>
  </si>
  <si>
    <t>One South Harbor Drive</t>
  </si>
  <si>
    <t>Grand Haven</t>
  </si>
  <si>
    <t>HANCOCK COUNTY COMMUNITY FOUNDATION INC</t>
  </si>
  <si>
    <t>35-1837729</t>
  </si>
  <si>
    <t>312 E Main Street</t>
  </si>
  <si>
    <t>Greenfield</t>
  </si>
  <si>
    <t>HIS FIRST FOUNDATION</t>
  </si>
  <si>
    <t>37-1414330</t>
  </si>
  <si>
    <t>Mossville</t>
  </si>
  <si>
    <t>DUDLEY FOUNDATION INC</t>
  </si>
  <si>
    <t>39-2003427</t>
  </si>
  <si>
    <t>500 N 1st St Ste 2</t>
  </si>
  <si>
    <t>BITTERSWEET AUTISM FOUNDATION INC</t>
  </si>
  <si>
    <t>33-1136261</t>
  </si>
  <si>
    <t>12660 Archbold Whitehouse Rd</t>
  </si>
  <si>
    <t>Whitehouse</t>
  </si>
  <si>
    <t>REGINALD R AND JAMESON A BAXTER FOUNDATION</t>
  </si>
  <si>
    <t>27-5276739</t>
  </si>
  <si>
    <t>1302 W Northwest Hwy</t>
  </si>
  <si>
    <t>INSTITUTE FOR CLINICAL SCIENCE AND ART INCORPORATED</t>
  </si>
  <si>
    <t>23-1616692</t>
  </si>
  <si>
    <t>2734 Lone Rd</t>
  </si>
  <si>
    <t>Freeland</t>
  </si>
  <si>
    <t>STEEL DYNAMICS FOUNDATION INC</t>
  </si>
  <si>
    <t>26-3012038</t>
  </si>
  <si>
    <t>7575 W Jefferson Blvd</t>
  </si>
  <si>
    <t>FOUR TS FOUNDATION TR</t>
  </si>
  <si>
    <t>13-7219393</t>
  </si>
  <si>
    <t>ROSCOMMON COUNTY COMMUNITY</t>
  </si>
  <si>
    <t>38-3612480</t>
  </si>
  <si>
    <t>Po Box 824</t>
  </si>
  <si>
    <t>Roscommon</t>
  </si>
  <si>
    <t>J N NELSON FAMILY FOUNDATION</t>
  </si>
  <si>
    <t>38-3342652</t>
  </si>
  <si>
    <t>9095 S Saginaw Rd Apt 13</t>
  </si>
  <si>
    <t>JEAN HARRY AND BRENDA FUCHS FAMILY FOUNDATION</t>
  </si>
  <si>
    <t>45-4551540</t>
  </si>
  <si>
    <t>25550 Chagrin Blvd Ste 403</t>
  </si>
  <si>
    <t>GERRY AND BILL COWLIN FOUNDATION</t>
  </si>
  <si>
    <t>56-2403559</t>
  </si>
  <si>
    <t>Huntingburg Foundation, Inc.</t>
  </si>
  <si>
    <t>35-1410928</t>
  </si>
  <si>
    <t>LANSING CHRISTIAN SCHOOL FOUNDATION</t>
  </si>
  <si>
    <t>36-3329450</t>
  </si>
  <si>
    <t>3660 Randolph Street</t>
  </si>
  <si>
    <t>BAND FOUNDATION CHARITABLE TR</t>
  </si>
  <si>
    <t>13-7210814</t>
  </si>
  <si>
    <t>THE PUSKAR FAMILY FOUNDATION</t>
  </si>
  <si>
    <t>51-0530585</t>
  </si>
  <si>
    <t>516 Old Harbor Ct</t>
  </si>
  <si>
    <t>SHIN FOUNDATION FOR MEDICAL RESEARCH AND BETTERMENT OF MANKIND</t>
  </si>
  <si>
    <t>38-3267984</t>
  </si>
  <si>
    <t>3350 Sutton Ln</t>
  </si>
  <si>
    <t>Commerce Twp</t>
  </si>
  <si>
    <t>GEN6 FOUNDATION INC</t>
  </si>
  <si>
    <t>90-0861311</t>
  </si>
  <si>
    <t>Po Box 138</t>
  </si>
  <si>
    <t>BERYL O AND WILMA SIME ROUNDYCHARITABLE FOUNDATION</t>
  </si>
  <si>
    <t>20-3993988</t>
  </si>
  <si>
    <t>HAROLD LINDBERGH ZARING CHARITABLE FOUNDATION</t>
  </si>
  <si>
    <t>37-6346303</t>
  </si>
  <si>
    <t>1600 N Belt W</t>
  </si>
  <si>
    <t>SARAH MARGARET HEGARTY FOUNDATION INC</t>
  </si>
  <si>
    <t>26-1393120</t>
  </si>
  <si>
    <t>W326n7030 Northlake Dr</t>
  </si>
  <si>
    <t>THOMAS H INGLE AND EVELYN H INGLE TRUST</t>
  </si>
  <si>
    <t>35-6683779</t>
  </si>
  <si>
    <t>JAMES R AND ANITA HORNE JENKINS FAMILY FOUNDATION</t>
  </si>
  <si>
    <t>45-4131764</t>
  </si>
  <si>
    <t>Po Box 1687</t>
  </si>
  <si>
    <t>DORIS L BREMSER AND LOIS BREMSER FOUNDATION</t>
  </si>
  <si>
    <t>45-5357782</t>
  </si>
  <si>
    <t>1000 N Water St Ste 1700</t>
  </si>
  <si>
    <t>JOSEPH AND VERA ZILBER CHARITABLE FOUNDATION INC</t>
  </si>
  <si>
    <t>39-2076346</t>
  </si>
  <si>
    <t>710 N Plankinton Ave Ste 1200</t>
  </si>
  <si>
    <t>AUGUSTA BROWN HOLLAND PHILANTHROPIC FOUNDATION INC</t>
  </si>
  <si>
    <t>27-4432220</t>
  </si>
  <si>
    <t>ELYSE MEREDITH AND RAYMOND JOHN ROBERTS CHARITABLE FOUNDATION</t>
  </si>
  <si>
    <t>52-2333799</t>
  </si>
  <si>
    <t>88 Brinker Rd</t>
  </si>
  <si>
    <t>LEONA STANFORD VOLLINTINE CHARITABLE TRUST</t>
  </si>
  <si>
    <t>84-1524918</t>
  </si>
  <si>
    <t>911 W Spresser St</t>
  </si>
  <si>
    <t>Taylorville</t>
  </si>
  <si>
    <t>KAMM FOUNDATION</t>
  </si>
  <si>
    <t>34-6533601</t>
  </si>
  <si>
    <t>25642 Lake Rd</t>
  </si>
  <si>
    <t>Bay Village</t>
  </si>
  <si>
    <t>COMMUNITY COVENANT FOUNDATION INC</t>
  </si>
  <si>
    <t>35-2117707</t>
  </si>
  <si>
    <t>6310 Ferguson St</t>
  </si>
  <si>
    <t>ULM FAMILY FOUNDATION INC</t>
  </si>
  <si>
    <t>20-5745473</t>
  </si>
  <si>
    <t>THE CHESTER FAMILY FOUNDATION</t>
  </si>
  <si>
    <t>20-5860910</t>
  </si>
  <si>
    <t>65 E State St Ste 1000</t>
  </si>
  <si>
    <t>RUTH BAKER YOUNG LIVING TRUST DTD 07-11-79</t>
  </si>
  <si>
    <t>31-6208204</t>
  </si>
  <si>
    <t>GUY A AND N KAY ARBOIT CHARITABLE TRUST</t>
  </si>
  <si>
    <t>36-7164572</t>
  </si>
  <si>
    <t>218 W Main St</t>
  </si>
  <si>
    <t>Dundee</t>
  </si>
  <si>
    <t>THE NATIONAL CITY CORPORATION CHARITABLE FOUNDATION II</t>
  </si>
  <si>
    <t>34-7050989</t>
  </si>
  <si>
    <t>PO Box 94651</t>
  </si>
  <si>
    <t xml:space="preserve">CULLINAN FALCON FOUNDATION INC                                        </t>
  </si>
  <si>
    <t>26-1606873</t>
  </si>
  <si>
    <t>PO Box 1835</t>
  </si>
  <si>
    <t>% Theresa S Falcon-Cullinan</t>
  </si>
  <si>
    <t>CHAMPAGNE FAMILY CHARITABLE TR AGREEMENT</t>
  </si>
  <si>
    <t>20-6262204</t>
  </si>
  <si>
    <t>Edna and Fred L Mandel Jr Foundation</t>
  </si>
  <si>
    <t>31-1734957</t>
  </si>
  <si>
    <t>10 S Riverside Plz Ste 900</t>
  </si>
  <si>
    <t>OMNOVA SOLUTIONS FOUNDATION INC</t>
  </si>
  <si>
    <t>34-1909350</t>
  </si>
  <si>
    <t>25435 Harvard Rd</t>
  </si>
  <si>
    <t>JOHN AND MARY RAITT FAMILY FOUNDATION</t>
  </si>
  <si>
    <t>36-4159656</t>
  </si>
  <si>
    <t>1111 Mohawk Rd</t>
  </si>
  <si>
    <t>Smoke Rise Foundation Inc</t>
  </si>
  <si>
    <t>26-0551489</t>
  </si>
  <si>
    <t>C/O Friedman Huey Associates</t>
  </si>
  <si>
    <t>OPAL DANCEY MEMORIAL FOUNDATION</t>
  </si>
  <si>
    <t>38-6361282</t>
  </si>
  <si>
    <t>STEUBEN COUNTY COMMUNITY FOUNDATION INC</t>
  </si>
  <si>
    <t>35-1857065</t>
  </si>
  <si>
    <t>1701 N Wayne St</t>
  </si>
  <si>
    <t>Angola</t>
  </si>
  <si>
    <t>ORANGE COUNTY COMMUNITY FOUNDATION INC</t>
  </si>
  <si>
    <t>35-2117084</t>
  </si>
  <si>
    <t>112 W. Water St.</t>
  </si>
  <si>
    <t>Paoli</t>
  </si>
  <si>
    <t>EASTER FOUNDATION INC</t>
  </si>
  <si>
    <t>20-0499778</t>
  </si>
  <si>
    <t>958 Hickory Ave</t>
  </si>
  <si>
    <t>De Pere</t>
  </si>
  <si>
    <t>John S Lehmann Char Tr Tuw</t>
  </si>
  <si>
    <t>59-7268792</t>
  </si>
  <si>
    <t>JOSEPH RIPPEY CHARITABLE TR</t>
  </si>
  <si>
    <t>16-6544138</t>
  </si>
  <si>
    <t>SUNSHINE CHARITABLE FOUNDATION</t>
  </si>
  <si>
    <t>20-1919538</t>
  </si>
  <si>
    <t>225 E Deerpath Rd Ste 210</t>
  </si>
  <si>
    <t>Nash Family Foundation</t>
  </si>
  <si>
    <t>26-1235069</t>
  </si>
  <si>
    <t>1 E Waldo Blvd Ste 5</t>
  </si>
  <si>
    <t>Arbor Hospice Foundation</t>
  </si>
  <si>
    <t>32-0045893</t>
  </si>
  <si>
    <t>2366 Oak Valley Dr</t>
  </si>
  <si>
    <t>Kendrick Foundation Inc</t>
  </si>
  <si>
    <t>35-1124905</t>
  </si>
  <si>
    <t>250 N Monroe St</t>
  </si>
  <si>
    <t>Mooresville</t>
  </si>
  <si>
    <t>Vermilion Healthcare Foundation Inc</t>
  </si>
  <si>
    <t>37-1225688</t>
  </si>
  <si>
    <t>Po Box 1853</t>
  </si>
  <si>
    <t>Danville</t>
  </si>
  <si>
    <t>John P Cadle Foundation</t>
  </si>
  <si>
    <t>37-1389249</t>
  </si>
  <si>
    <t>11 E North St</t>
  </si>
  <si>
    <t>Grace M Schulte Foundation</t>
  </si>
  <si>
    <t>47-6199193</t>
  </si>
  <si>
    <t>The Henri and Flore Lesieur Foundation</t>
  </si>
  <si>
    <t>51-0378395</t>
  </si>
  <si>
    <t>COSTLEY FAM FOUNDATIION</t>
  </si>
  <si>
    <t>65-6430931</t>
  </si>
  <si>
    <t>Po Box 1982</t>
  </si>
  <si>
    <t>Helen S Barnes Trust for Baton Rouge Area Foundation</t>
  </si>
  <si>
    <t>72-6092736</t>
  </si>
  <si>
    <t>Harry M and Violet Turner Charitable Trust</t>
  </si>
  <si>
    <t>31-1711190</t>
  </si>
  <si>
    <t>4 W Main St Ste 800</t>
  </si>
  <si>
    <t>Miriam Rosenthal Memorial Tr Fund</t>
  </si>
  <si>
    <t>31-6055183</t>
  </si>
  <si>
    <t>Herbert H &amp; Grace A Dow Foundation</t>
  </si>
  <si>
    <t>38-1437485</t>
  </si>
  <si>
    <t>1018 W Main St</t>
  </si>
  <si>
    <t>Skiles Foundation</t>
  </si>
  <si>
    <t>75-2845190</t>
  </si>
  <si>
    <t>101 North Main Street</t>
  </si>
  <si>
    <t>Greer Foundation</t>
  </si>
  <si>
    <t>83-6080990</t>
  </si>
  <si>
    <t>4501 W 127th St Ste D</t>
  </si>
  <si>
    <t>HOWARD AND JACKIE SHAPIRO FOUNDATION</t>
  </si>
  <si>
    <t>13-4331684</t>
  </si>
  <si>
    <t>26 N Halsted St</t>
  </si>
  <si>
    <t>SMS FOUNDATION INC</t>
  </si>
  <si>
    <t>20-1878599</t>
  </si>
  <si>
    <t>Po Box 5324</t>
  </si>
  <si>
    <t>DORAN FOUNDATION INC</t>
  </si>
  <si>
    <t>20-3474077</t>
  </si>
  <si>
    <t>1121 State Route 94 W</t>
  </si>
  <si>
    <t>Murray</t>
  </si>
  <si>
    <t>ASANTE FOUNDATION INC</t>
  </si>
  <si>
    <t>20-3554641</t>
  </si>
  <si>
    <t>211 W Washington St Ste 2400</t>
  </si>
  <si>
    <t>WILLIAM DAVIDSON FOUNDATION</t>
  </si>
  <si>
    <t>20-3899187</t>
  </si>
  <si>
    <t>3155 West Big Beaver Rd</t>
  </si>
  <si>
    <t>THOMAS M &amp; JULIE E SCOTT FOUNDATION</t>
  </si>
  <si>
    <t>20-4400267</t>
  </si>
  <si>
    <t>120 N La Salle St Fl 38</t>
  </si>
  <si>
    <t>THE ROSENFIELD FAMILY FOUNDATION</t>
  </si>
  <si>
    <t>20-5129631</t>
  </si>
  <si>
    <t>222 W Adams St Ste 2250</t>
  </si>
  <si>
    <t>JOHN AND SUSAN BERDING FAMILYFOUNDATION</t>
  </si>
  <si>
    <t>20-5909751</t>
  </si>
  <si>
    <t>6753 Rapid Run Rd</t>
  </si>
  <si>
    <t>SHINE FOUNDATION</t>
  </si>
  <si>
    <t>20-5940421</t>
  </si>
  <si>
    <t>Po Box 451</t>
  </si>
  <si>
    <t>Zeeland</t>
  </si>
  <si>
    <t>RICHARD L GRAY PERPETUAL CHARITABLE TR</t>
  </si>
  <si>
    <t>20-6784832</t>
  </si>
  <si>
    <t>108 E Adams St</t>
  </si>
  <si>
    <t>Pittsfield</t>
  </si>
  <si>
    <t>A PAUL AND CAROL C SCHAAPFOUNDATION</t>
  </si>
  <si>
    <t>20-7097647</t>
  </si>
  <si>
    <t>J CLYDE AND VELMA APOLIOS ENGLAND FAMILY CHARITABLE FOUNDATION NO 2</t>
  </si>
  <si>
    <t>20-7277315</t>
  </si>
  <si>
    <t>230 Frederica St</t>
  </si>
  <si>
    <t>LAU &amp; BEA CHRISTENSEN CHARITABLE FOUNDATION</t>
  </si>
  <si>
    <t>20-8837127</t>
  </si>
  <si>
    <t>723 Wilder Dr</t>
  </si>
  <si>
    <t>Community Foundation for Northeast Michigan</t>
  </si>
  <si>
    <t>23-7384822</t>
  </si>
  <si>
    <t>P.O. Box 495</t>
  </si>
  <si>
    <t>Alpena</t>
  </si>
  <si>
    <t>R J MILLER FAMILY FOUNDATION INC</t>
  </si>
  <si>
    <t>26-0269040</t>
  </si>
  <si>
    <t>4197 S 500 E</t>
  </si>
  <si>
    <t>VICTOR AND CHRISTINE ANTHONY FOUNDATION INC</t>
  </si>
  <si>
    <t>26-0851891</t>
  </si>
  <si>
    <t>Po Box 385</t>
  </si>
  <si>
    <t>Waupaca</t>
  </si>
  <si>
    <t>W E MARTIN FOUNDATION</t>
  </si>
  <si>
    <t>26-1192966</t>
  </si>
  <si>
    <t>REED FAMILY FOUNDATION</t>
  </si>
  <si>
    <t>26-1247721</t>
  </si>
  <si>
    <t>JOHN DYKEMA AND MICHELE MALY-DYKEMA FAMILY FOUNDATION</t>
  </si>
  <si>
    <t>26-1369140</t>
  </si>
  <si>
    <t>1345 Nottinghill Ct Se</t>
  </si>
  <si>
    <t>MCKINNEY FAMILY FOUNDATION INC</t>
  </si>
  <si>
    <t>26-1585667</t>
  </si>
  <si>
    <t>135 N Pennsylvania Street 10th</t>
  </si>
  <si>
    <t>SERRA FOUNDATION</t>
  </si>
  <si>
    <t>26-1675789</t>
  </si>
  <si>
    <t>13338 Wenwood Dr</t>
  </si>
  <si>
    <t>ELIZABETH HEKMAN GORDON FAMILY FOUNDATION</t>
  </si>
  <si>
    <t>26-2355707</t>
  </si>
  <si>
    <t>Po Box 532</t>
  </si>
  <si>
    <t>Spring Lake</t>
  </si>
  <si>
    <t>EDMUND J &amp; ESTELLE D WALKER CHARITABLE TRUST</t>
  </si>
  <si>
    <t>27-1036148</t>
  </si>
  <si>
    <t>Po Box 22130</t>
  </si>
  <si>
    <t>PUFFIN FOUNDATION WEST, LTD.</t>
  </si>
  <si>
    <t>27-2753994</t>
  </si>
  <si>
    <t>60 East Spring Street</t>
  </si>
  <si>
    <t>#601</t>
  </si>
  <si>
    <t>A90 (Arts Service Activities/Organizations)</t>
  </si>
  <si>
    <t>MACBEA FOUNDATION</t>
  </si>
  <si>
    <t>27-3409621</t>
  </si>
  <si>
    <t>52 E Gay St</t>
  </si>
  <si>
    <t>AMHERST F HARY FOUNDATION</t>
  </si>
  <si>
    <t>30-0185703</t>
  </si>
  <si>
    <t>130 N Water St</t>
  </si>
  <si>
    <t>VIOLET L ANSORGE PRIVATE FOUNDATION TR 08251999</t>
  </si>
  <si>
    <t>30-0532062</t>
  </si>
  <si>
    <t>TOM W BENNETT CHARITABLE TR</t>
  </si>
  <si>
    <t>30-6311068</t>
  </si>
  <si>
    <t>CROWN POINT COMMUNITY FOUNDATION INC</t>
  </si>
  <si>
    <t>31-0247014</t>
  </si>
  <si>
    <t>Po Box 522</t>
  </si>
  <si>
    <t>Crown Point</t>
  </si>
  <si>
    <t>The Community Foundation of Louisville, Inc.</t>
  </si>
  <si>
    <t>31-0997017</t>
  </si>
  <si>
    <t>COLUMBUS STATE COMMUNITY COLLEGE DEVELOPMENT FOUNDATION INC</t>
  </si>
  <si>
    <t>31-1035280</t>
  </si>
  <si>
    <t>550 E Spring St</t>
  </si>
  <si>
    <t>PAUL G DUKE FOUNDATION INC</t>
  </si>
  <si>
    <t>31-1045339</t>
  </si>
  <si>
    <t>OHIO PRESBYTERIAN RETIREMENT SERVICES FOUNDATION</t>
  </si>
  <si>
    <t>31-1166164</t>
  </si>
  <si>
    <t>1001 Kingsmill Parkway</t>
  </si>
  <si>
    <t>T12 (Fund Raising and/or Fund Distribution)</t>
  </si>
  <si>
    <t>KnowledgeWorks Foundation</t>
  </si>
  <si>
    <t>31-1321973</t>
  </si>
  <si>
    <t>One West 4th Street</t>
  </si>
  <si>
    <t>KEITH N BROWNING FAMILY FOUNDATION</t>
  </si>
  <si>
    <t>31-1424006</t>
  </si>
  <si>
    <t>FRED &amp; LILLIAN DEEKS MEMORIAL FOUNDATION 04-1877</t>
  </si>
  <si>
    <t>31-1531880</t>
  </si>
  <si>
    <t>RUSSELL E AND BARBARA O BROWNING FAMILY FOUNDATION INC</t>
  </si>
  <si>
    <t>31-1628325</t>
  </si>
  <si>
    <t>KWI</t>
  </si>
  <si>
    <t>31-1776354</t>
  </si>
  <si>
    <t>One West Fourth Street No 201</t>
  </si>
  <si>
    <t>Dayton Foundation</t>
  </si>
  <si>
    <t>31-6027287</t>
  </si>
  <si>
    <t>CINCINNATI FOUNDATION FOR MORTUARY EDUCATION</t>
  </si>
  <si>
    <t>31-6064854</t>
  </si>
  <si>
    <t>645 W North Bend Rd</t>
  </si>
  <si>
    <t>JAMES &amp; CORALIE CENTOFANTI CHARITABLE FOUNDATION</t>
  </si>
  <si>
    <t>31-6567000</t>
  </si>
  <si>
    <t>AGAPE FOUNDATION</t>
  </si>
  <si>
    <t>32-0048185</t>
  </si>
  <si>
    <t>70 E Lake St Ste 1120</t>
  </si>
  <si>
    <t>FRANCES L NELSON FOUNDATION LTD</t>
  </si>
  <si>
    <t>39-2033920</t>
  </si>
  <si>
    <t>JANESVILLE FOUNDATION INC</t>
  </si>
  <si>
    <t>39-6034645</t>
  </si>
  <si>
    <t>Po Box 8123</t>
  </si>
  <si>
    <t>STELLA H JONES FOUNDATION C/O J LEWIS PERLSON</t>
  </si>
  <si>
    <t>39-6630656</t>
  </si>
  <si>
    <t>100 E Wisconsin Ave Ste 3300</t>
  </si>
  <si>
    <t>KALSCHEUR FAMILY FOUNDATION</t>
  </si>
  <si>
    <t>39-6681490</t>
  </si>
  <si>
    <t>1221 John Q Hammons Dr</t>
  </si>
  <si>
    <t>GERTRUDE AND WILLIAM A BERNOUDY FOUNDATION</t>
  </si>
  <si>
    <t>43-6512119</t>
  </si>
  <si>
    <t>PAUL &amp; MULVA SMITH CHAR TR</t>
  </si>
  <si>
    <t>43-6616234</t>
  </si>
  <si>
    <t>FARLEY FAMILY CHARITABLE FOUNDATION</t>
  </si>
  <si>
    <t>45-5492483</t>
  </si>
  <si>
    <t>Po Box 2593</t>
  </si>
  <si>
    <t>JOHN C LASKO MEMORIAL TRUST</t>
  </si>
  <si>
    <t>45-6601074</t>
  </si>
  <si>
    <t>2000 Town Ctr Ste 2700</t>
  </si>
  <si>
    <t>1111 FOUNDATION</t>
  </si>
  <si>
    <t>46-1463656</t>
  </si>
  <si>
    <t>1 Medline Pl</t>
  </si>
  <si>
    <t>Mundelein</t>
  </si>
  <si>
    <t>DAVID HERCHE FOUNDATION INC</t>
  </si>
  <si>
    <t>46-1512670</t>
  </si>
  <si>
    <t>4955 Spring Grove Ave</t>
  </si>
  <si>
    <t>ARKES FAMILY FOUNDATION</t>
  </si>
  <si>
    <t>46-1536842</t>
  </si>
  <si>
    <t>641 W Willow St Apt 138</t>
  </si>
  <si>
    <t>DORSEY FOUNDATION INC</t>
  </si>
  <si>
    <t>46-3002776</t>
  </si>
  <si>
    <t>5868 E 71st Street</t>
  </si>
  <si>
    <t>EDWARD A AND EVELYN M DIK FAMILY FOUNDATION</t>
  </si>
  <si>
    <t>46-6500183</t>
  </si>
  <si>
    <t>FOND DU LAC AREA FOUNDATION</t>
  </si>
  <si>
    <t>51-0181570</t>
  </si>
  <si>
    <t>384 N Main St Ste 4</t>
  </si>
  <si>
    <t>ERIC D AND STEVEN D HOVDE FOUNDATION</t>
  </si>
  <si>
    <t>52-2107093</t>
  </si>
  <si>
    <t>122 West Washington Avenue Suite</t>
  </si>
  <si>
    <t>SIMON BROTHERS FAMILY FOUNDATION</t>
  </si>
  <si>
    <t>52-6839797</t>
  </si>
  <si>
    <t>MARY BUCKSBAUM SCANLAN FAMILY FOUNDATION</t>
  </si>
  <si>
    <t>52-7240192</t>
  </si>
  <si>
    <t>CO TUA R &amp; J KOTT MEMORIAL CHAR</t>
  </si>
  <si>
    <t>59-7229565</t>
  </si>
  <si>
    <t>1049 Lake St Ste 204</t>
  </si>
  <si>
    <t>ROSENSTEIN FAMILY CHARITABLE FOUNDATION INC</t>
  </si>
  <si>
    <t>61-1316211</t>
  </si>
  <si>
    <t>C/O Robert Rosenstein 343 Waller</t>
  </si>
  <si>
    <t>CLAUDE AND BETTY HARRIS FOUNDATION INC</t>
  </si>
  <si>
    <t>61-1400416</t>
  </si>
  <si>
    <t>295 N Hubbards Ln Ste 203</t>
  </si>
  <si>
    <t>DAVIS CHARITABLE TR</t>
  </si>
  <si>
    <t>74-6456780</t>
  </si>
  <si>
    <t>Community West Foundation</t>
  </si>
  <si>
    <t>34-1456398</t>
  </si>
  <si>
    <t>20545 Center Ridge Rd</t>
  </si>
  <si>
    <t>#448</t>
  </si>
  <si>
    <t>E12 (Fund Raising and/or Fund Distribution)</t>
  </si>
  <si>
    <t>ROBERT R &amp; GAY C CULL FAMILY FOUNDATION</t>
  </si>
  <si>
    <t>34-1847504</t>
  </si>
  <si>
    <t>2023 Lyndway Rd</t>
  </si>
  <si>
    <t>THE ROBERT O ORR AND ANNAMAE ORR FAMILY FOUNDATION</t>
  </si>
  <si>
    <t>34-1867983</t>
  </si>
  <si>
    <t>Mike Stark 3475 Ridgewood Rd</t>
  </si>
  <si>
    <t>SAMARITAN FOUNDATION</t>
  </si>
  <si>
    <t>34-1957355</t>
  </si>
  <si>
    <t>Po Box 97</t>
  </si>
  <si>
    <t>Haviland</t>
  </si>
  <si>
    <t>William Bingham Foundation</t>
  </si>
  <si>
    <t>34-6513791</t>
  </si>
  <si>
    <t>1111 Superior Ave. Ste.700</t>
  </si>
  <si>
    <t>THE NAMASTE FOUNDATION INC</t>
  </si>
  <si>
    <t>35-1814583</t>
  </si>
  <si>
    <t>9704 Raintree Dr S</t>
  </si>
  <si>
    <t>Community Foundation of Howard County, Inc.</t>
  </si>
  <si>
    <t>35-1844891</t>
  </si>
  <si>
    <t>215 W. Sycamore St.</t>
  </si>
  <si>
    <t>Kokomo</t>
  </si>
  <si>
    <t>BROWN COUNTY COMMUNITY FOUNDATION INC</t>
  </si>
  <si>
    <t>35-1960379</t>
  </si>
  <si>
    <t>PO Box 191</t>
  </si>
  <si>
    <t>Nashville</t>
  </si>
  <si>
    <t>CROSSER FAMILY FOUNDATION INC</t>
  </si>
  <si>
    <t>35-2145332</t>
  </si>
  <si>
    <t>984 Logan St</t>
  </si>
  <si>
    <t>Noblesville</t>
  </si>
  <si>
    <t>UNTO THE LORD MINISTRIES INC</t>
  </si>
  <si>
    <t>35-2147410</t>
  </si>
  <si>
    <t>6758 Chapel Xing</t>
  </si>
  <si>
    <t>LESTER W STEVENSON JR CHARITABLE TR</t>
  </si>
  <si>
    <t>35-6890177</t>
  </si>
  <si>
    <t>FINNEGAN FAMILY FOUNDATION</t>
  </si>
  <si>
    <t>36-4221334</t>
  </si>
  <si>
    <t>33 N Dearborn</t>
  </si>
  <si>
    <t>DANIEL LEVIN CHARITABLE FUND</t>
  </si>
  <si>
    <t>36-4265104</t>
  </si>
  <si>
    <t>330 N Wabash Ave Ste 1700</t>
  </si>
  <si>
    <t>CACCOMO FAMILY FOUNDATION</t>
  </si>
  <si>
    <t>36-4462798</t>
  </si>
  <si>
    <t>2 N La Salle St Ste 1700</t>
  </si>
  <si>
    <t>SAR FOUNDATION INC</t>
  </si>
  <si>
    <t>36-4514524</t>
  </si>
  <si>
    <t>809 W Main St</t>
  </si>
  <si>
    <t>STATE FARM COMPANIES FOUNDATION</t>
  </si>
  <si>
    <t>36-6110423</t>
  </si>
  <si>
    <t>Po Box 2321</t>
  </si>
  <si>
    <t>HELEN M SCHMICH TR FBO ST THOMAS CHURCH &amp; ST LABRE SCHOOL</t>
  </si>
  <si>
    <t>36-6897033</t>
  </si>
  <si>
    <t>JOHNSON FAMILY FOUNDATION TR</t>
  </si>
  <si>
    <t>36-7092273</t>
  </si>
  <si>
    <t>555 Main St Ste 500</t>
  </si>
  <si>
    <t>WANDA MUNTWYLER FOUNDATION FOR ANIMALS</t>
  </si>
  <si>
    <t>36-7155124</t>
  </si>
  <si>
    <t>MICOLE FOUNDATION IRRV TR</t>
  </si>
  <si>
    <t>36-7309675</t>
  </si>
  <si>
    <t>28 Elmwood Dr</t>
  </si>
  <si>
    <t>MARAJEN STEVICK FOUNDATION</t>
  </si>
  <si>
    <t>37-1402852</t>
  </si>
  <si>
    <t>Po Box 7950</t>
  </si>
  <si>
    <t>THE DUNHAM FUND</t>
  </si>
  <si>
    <t>37-6416138</t>
  </si>
  <si>
    <t>8 E Galena Blvd Ste 202</t>
  </si>
  <si>
    <t>ALBERT E DEFRATIS CHARITABLE REMAINDER ANNUITY TRUST 71009</t>
  </si>
  <si>
    <t>37-6163832</t>
  </si>
  <si>
    <t>MIDLAND AREA COMMUNITY FOUNDATION</t>
  </si>
  <si>
    <t>38-2023395</t>
  </si>
  <si>
    <t>76 Ashman Circle</t>
  </si>
  <si>
    <t>THE GREENVILLE AREA COMMUNITY FOUNDATION</t>
  </si>
  <si>
    <t>38-2899657</t>
  </si>
  <si>
    <t>101 N Lafayette St</t>
  </si>
  <si>
    <t>Greenville</t>
  </si>
  <si>
    <t>Mackinac Island Community Foundation</t>
  </si>
  <si>
    <t>38-3179612</t>
  </si>
  <si>
    <t>PO Box 1933</t>
  </si>
  <si>
    <t>1391 Hoban Street</t>
  </si>
  <si>
    <t>Mackinac Island</t>
  </si>
  <si>
    <t>GRASSLAND TR</t>
  </si>
  <si>
    <t>38-3357237</t>
  </si>
  <si>
    <t>VAUGHAN FOUNDATION</t>
  </si>
  <si>
    <t>38-3355160</t>
  </si>
  <si>
    <t>WHEELER FAMILY FOUNDATION INC</t>
  </si>
  <si>
    <t>38-3392912</t>
  </si>
  <si>
    <t>201 W Big Beaver Rd Ste 1420</t>
  </si>
  <si>
    <t>DIEBOLT FOUNDATION</t>
  </si>
  <si>
    <t>38-3444677</t>
  </si>
  <si>
    <t>22611 Greater Mack Ave</t>
  </si>
  <si>
    <t>SPECKHARD-KNIGHT CHARITABLE FOUNDATION</t>
  </si>
  <si>
    <t>38-3466344</t>
  </si>
  <si>
    <t>771 Bogey Ct</t>
  </si>
  <si>
    <t>PROVIDENCE HEALTH FOUNDATION INC</t>
  </si>
  <si>
    <t>38-3526629</t>
  </si>
  <si>
    <t>22101 Moross No 102</t>
  </si>
  <si>
    <t>ROTTMAN FAMILY CHARITABLE FOUNDATION</t>
  </si>
  <si>
    <t>38-3566006</t>
  </si>
  <si>
    <t>1911 Thorn Run Ct Se</t>
  </si>
  <si>
    <t>WELLER FAMILY FOUNDATION</t>
  </si>
  <si>
    <t>38-3588896</t>
  </si>
  <si>
    <t>111 Lyon Street Nw</t>
  </si>
  <si>
    <t>FIELDMAN SIMS FOUNDATION</t>
  </si>
  <si>
    <t>38-3638470</t>
  </si>
  <si>
    <t>2738 Turtle Ridge Dr</t>
  </si>
  <si>
    <t>WILLIAM TUXBURY KUTSCHE AND GERALDENE GULLIFORD KUTSCHE</t>
  </si>
  <si>
    <t>38-6610379</t>
  </si>
  <si>
    <t>PHILIP COHEN SCHOLARSHIP TR BO UNLV</t>
  </si>
  <si>
    <t>38-6967584</t>
  </si>
  <si>
    <t>PECK FOUNDATION MILWAUKEE LTD</t>
  </si>
  <si>
    <t>39-1519687</t>
  </si>
  <si>
    <t>Po Box 441</t>
  </si>
  <si>
    <t xml:space="preserve">THE STATELINE COMMUNITY FOUNDATION INC                                </t>
  </si>
  <si>
    <t>39-1585271</t>
  </si>
  <si>
    <t>121 W Grand Ave</t>
  </si>
  <si>
    <t>RUSU FAMILY FOUNDATION</t>
  </si>
  <si>
    <t>90-0639630</t>
  </si>
  <si>
    <t>201 Commerce Dr</t>
  </si>
  <si>
    <t>AMERICAN LEGION CHARITIES INC</t>
  </si>
  <si>
    <t>90-1017997</t>
  </si>
  <si>
    <t>700 N Pennsylvania St</t>
  </si>
  <si>
    <t>Gillett Family Foundation</t>
  </si>
  <si>
    <t>26-1606747</t>
  </si>
  <si>
    <t>3100 Boynton Ave Ne</t>
  </si>
  <si>
    <t>Emme Family Foundation</t>
  </si>
  <si>
    <t>47-2006477</t>
  </si>
  <si>
    <t>501 N Main St</t>
  </si>
  <si>
    <t>Community Foundation of Mahoning Valley</t>
  </si>
  <si>
    <t>34-1904353</t>
  </si>
  <si>
    <t>201 E. Commerce Street</t>
  </si>
  <si>
    <t>Suite 150</t>
  </si>
  <si>
    <t>MPN RESEARCH FOUNDATION</t>
  </si>
  <si>
    <t>36-4330967</t>
  </si>
  <si>
    <t>180 N Michigan Ave</t>
  </si>
  <si>
    <t>Ste 1870</t>
  </si>
  <si>
    <t>G30 (Cancer)</t>
  </si>
  <si>
    <t>The Ceres Foundation Inc</t>
  </si>
  <si>
    <t>83-0468641</t>
  </si>
  <si>
    <t>101 W Pleasant</t>
  </si>
  <si>
    <t>Turner Farm Foundation Inc</t>
  </si>
  <si>
    <t>80-0727539</t>
  </si>
  <si>
    <t>Cors Bassett Llc 537 E Pete Rose</t>
  </si>
  <si>
    <t>Community Foundation of Central Wisconsin, Inc.</t>
  </si>
  <si>
    <t>39-0827885</t>
  </si>
  <si>
    <t>P.O. Box 968</t>
  </si>
  <si>
    <t>Stevens Point</t>
  </si>
  <si>
    <t>Christel Dehaan Family Foundation Inc</t>
  </si>
  <si>
    <t>35-1939960</t>
  </si>
  <si>
    <t>10 W Market Street</t>
  </si>
  <si>
    <t>Herman and Gwen Shapiro Foundation</t>
  </si>
  <si>
    <t>39-1841051</t>
  </si>
  <si>
    <t>Local</t>
  </si>
  <si>
    <t>MULHOLLEM CRAVENS FOUNDATION</t>
  </si>
  <si>
    <t>20-3835578</t>
  </si>
  <si>
    <t>Po Box 192</t>
  </si>
  <si>
    <t>Carlisle</t>
  </si>
  <si>
    <t>FRED A AND BARBARA M ERB FAMILY FOUNDATION</t>
  </si>
  <si>
    <t>20-5966333</t>
  </si>
  <si>
    <t>38710 Woodward Ave Ste 210</t>
  </si>
  <si>
    <t>Neale Family Foundation</t>
  </si>
  <si>
    <t>26-1555396</t>
  </si>
  <si>
    <t>Hoogland Family Foundation</t>
  </si>
  <si>
    <t>36-4427146</t>
  </si>
  <si>
    <t>1022 E Adams St</t>
  </si>
  <si>
    <t>Robert Swanson and Cynthia Shevlin Foundation</t>
  </si>
  <si>
    <t>36-7237696</t>
  </si>
  <si>
    <t>Guy B Reno Family Foundation 43-1721-01-8</t>
  </si>
  <si>
    <t>36-7237936</t>
  </si>
  <si>
    <t>2990 N Perryville Rd Unit 1400</t>
  </si>
  <si>
    <t>Herbert Simon Family Foundation</t>
  </si>
  <si>
    <t>38-3905454</t>
  </si>
  <si>
    <t>600 E 96th St Ste 510</t>
  </si>
  <si>
    <t>Flora Foust Educational Fund R77300003</t>
  </si>
  <si>
    <t>75-6326288</t>
  </si>
  <si>
    <t>Robert and Mayari Pritzker Family Foundation</t>
  </si>
  <si>
    <t>20-3829597</t>
  </si>
  <si>
    <t>1 N Franklin St Ste 2420</t>
  </si>
  <si>
    <t>Richard B and Rhonda M Thompson Foundation</t>
  </si>
  <si>
    <t>26-0841173</t>
  </si>
  <si>
    <t>8761 State Route 7</t>
  </si>
  <si>
    <t>Kinsman</t>
  </si>
  <si>
    <t>Ruth J and Robert A Conway Foundation Inc</t>
  </si>
  <si>
    <t>31-1575184</t>
  </si>
  <si>
    <t>5799 Mariemont Ave</t>
  </si>
  <si>
    <t>Rosenzweig Coopersmith Foundation</t>
  </si>
  <si>
    <t>38-3393545</t>
  </si>
  <si>
    <t>333 Bridge Nw No 1200</t>
  </si>
  <si>
    <t>Margaret Thomas Redmon Charitable Trust Inc</t>
  </si>
  <si>
    <t>45-3994684</t>
  </si>
  <si>
    <t>1802 Round Ridge Rd</t>
  </si>
  <si>
    <t>Pathways Foundation</t>
  </si>
  <si>
    <t>45-6643839</t>
  </si>
  <si>
    <t>26055 Northpointe</t>
  </si>
  <si>
    <t>Sam Swope Family Foundation Inc</t>
  </si>
  <si>
    <t>92-0186097</t>
  </si>
  <si>
    <t>10 Swope Autocenter Dr</t>
  </si>
  <si>
    <t>Miller Family Foundation Inc</t>
  </si>
  <si>
    <t>58-2261960</t>
  </si>
  <si>
    <t>Equity Residential Foundation</t>
  </si>
  <si>
    <t>36-4478772</t>
  </si>
  <si>
    <t>2 N Riverside Plaza</t>
  </si>
  <si>
    <t>Bisco Charitable Foundation</t>
  </si>
  <si>
    <t>36-4198175</t>
  </si>
  <si>
    <t>1100 W Irving Park Rd</t>
  </si>
  <si>
    <t>Charles E Marks Jr Charitable Trust</t>
  </si>
  <si>
    <t>20-7240974</t>
  </si>
  <si>
    <t>203 N La Salle St Ste 1620</t>
  </si>
  <si>
    <t>June and Cecil McDole Charitablefund</t>
  </si>
  <si>
    <t>20-3619178</t>
  </si>
  <si>
    <t>24800 Denso Drive</t>
  </si>
  <si>
    <t>Wagnalls Memorial Foundation</t>
  </si>
  <si>
    <t>31-4379589</t>
  </si>
  <si>
    <t>150 E Columbus St Fdna</t>
  </si>
  <si>
    <t>Lithopolis</t>
  </si>
  <si>
    <t>Peterson Family Foundation Inc</t>
  </si>
  <si>
    <t>35-2058989</t>
  </si>
  <si>
    <t>9255 Kerwood Dr</t>
  </si>
  <si>
    <t>Miller Family Foundation</t>
  </si>
  <si>
    <t>34-1855841</t>
  </si>
  <si>
    <t>32333 Aurora Road</t>
  </si>
  <si>
    <t>James and Alma Van Camp Family Foundation</t>
  </si>
  <si>
    <t>38-3324843</t>
  </si>
  <si>
    <t>Po Box 290</t>
  </si>
  <si>
    <t>Baskes Family Foundation</t>
  </si>
  <si>
    <t>30-0257951</t>
  </si>
  <si>
    <t>Hammes Family Foundation</t>
  </si>
  <si>
    <t>27-3621031</t>
  </si>
  <si>
    <t>300 N Lasalle Street</t>
  </si>
  <si>
    <t>Wolverine World Wide Foundation</t>
  </si>
  <si>
    <t>32-0140361</t>
  </si>
  <si>
    <t>9341 Courtland Dr Ne</t>
  </si>
  <si>
    <t>Julie and Brian Simmons Foundation</t>
  </si>
  <si>
    <t>36-4382077</t>
  </si>
  <si>
    <t>10 S Wacker Dr Ste 3175</t>
  </si>
  <si>
    <t>Walter and Olivia Kiebach Foundation</t>
  </si>
  <si>
    <t>36-4631948</t>
  </si>
  <si>
    <t>8964 Little Mountain Ste 1000</t>
  </si>
  <si>
    <t>Kirtland Hills</t>
  </si>
  <si>
    <t>John E Kuenzl Foundation Inc</t>
  </si>
  <si>
    <t>39-1998578</t>
  </si>
  <si>
    <t>Po Box 2886</t>
  </si>
  <si>
    <t>Van Singel Family Foundation</t>
  </si>
  <si>
    <t>20-3890112</t>
  </si>
  <si>
    <t>7261 Brooklyn Ave Se</t>
  </si>
  <si>
    <t>Kim Jordan Foundation</t>
  </si>
  <si>
    <t>26-6579229</t>
  </si>
  <si>
    <t>20820 Chagrin Blvd</t>
  </si>
  <si>
    <t>Mark &amp; Anna Ruth Hasten Family Foundation Inc</t>
  </si>
  <si>
    <t>35-1998923</t>
  </si>
  <si>
    <t>6602 Hoover Rd</t>
  </si>
  <si>
    <t>Joyce and Donald Rumsfeld Foundation</t>
  </si>
  <si>
    <t>36-4283822</t>
  </si>
  <si>
    <t>Harry M and Gertrude Y Schwartz Foundation for Judaism</t>
  </si>
  <si>
    <t>36-7237812</t>
  </si>
  <si>
    <t>4306 N Damen Ave</t>
  </si>
  <si>
    <t>J Donald Kincaid and Julianne Kincaid Educational Trust</t>
  </si>
  <si>
    <t>45-1429722</t>
  </si>
  <si>
    <t>14 S 5th St</t>
  </si>
  <si>
    <t>Waicu Educational Technology Consortium Inc</t>
  </si>
  <si>
    <t>20-3202578</t>
  </si>
  <si>
    <t>122 W Washington Ave Ste 700</t>
  </si>
  <si>
    <t>FOUNDATION OF THE CATHOLIC DIOCESE OF COLUMBUS</t>
  </si>
  <si>
    <t>31-1116640</t>
  </si>
  <si>
    <t>257 East Broad Street</t>
  </si>
  <si>
    <t>Levi Ray &amp; Shoup Foundation</t>
  </si>
  <si>
    <t>32-6007063</t>
  </si>
  <si>
    <t>2401 W Monroe St</t>
  </si>
  <si>
    <t>New Directions Foundation</t>
  </si>
  <si>
    <t>36-4267729</t>
  </si>
  <si>
    <t>Stuart and Barbara Padnos Foundation</t>
  </si>
  <si>
    <t>38-3237340</t>
  </si>
  <si>
    <t>Purtan Family Foundation</t>
  </si>
  <si>
    <t>38-3498771</t>
  </si>
  <si>
    <t>6208 Rue Du Lac</t>
  </si>
  <si>
    <t>William Lant Ridgway Charitable Trust</t>
  </si>
  <si>
    <t>38-7090336</t>
  </si>
  <si>
    <t>Eugene E Myers Testamentary Foundation</t>
  </si>
  <si>
    <t>65-6408760</t>
  </si>
  <si>
    <t>David Levinson Trust Dated 10-05-1992 As Amended and Restated</t>
  </si>
  <si>
    <t>83-6052929</t>
  </si>
  <si>
    <t>Po Box 727</t>
  </si>
  <si>
    <t>Athens</t>
  </si>
  <si>
    <t>STEPHEN A COMUNALE JR CHARITABLE FOUNDATION</t>
  </si>
  <si>
    <t>20-4345267</t>
  </si>
  <si>
    <t>Po Box 13805</t>
  </si>
  <si>
    <t>Richard J Garber Foundation</t>
  </si>
  <si>
    <t>26-1380405</t>
  </si>
  <si>
    <t>1004 N Michigan Ave</t>
  </si>
  <si>
    <t>Good Samaritan Foundation Inc</t>
  </si>
  <si>
    <t>31-1087598</t>
  </si>
  <si>
    <t>7400 Floydsburg Rd</t>
  </si>
  <si>
    <t>Crestwood</t>
  </si>
  <si>
    <t>Rex and Alice A Martin Foundation Inc</t>
  </si>
  <si>
    <t>35-2117025</t>
  </si>
  <si>
    <t>1516 Middlebury St</t>
  </si>
  <si>
    <t>Madison Symphony Orchestra Foundation Inc</t>
  </si>
  <si>
    <t>39-1769944</t>
  </si>
  <si>
    <t>222 W Washington Ave Ste 460</t>
  </si>
  <si>
    <t>DETROIT FEDERATION OF TEACHERS MEMORIAL SCHOLARSHIP FUND</t>
  </si>
  <si>
    <t>23-7431396</t>
  </si>
  <si>
    <t>7700 Second Ave Suite 427</t>
  </si>
  <si>
    <t>MATHILE FAMILY FOUNDATION</t>
  </si>
  <si>
    <t>31-1257219</t>
  </si>
  <si>
    <t>6450 Sand Lake Rd Ste 100</t>
  </si>
  <si>
    <t>Legacy Foundation, Inc.</t>
  </si>
  <si>
    <t>35-1872803</t>
  </si>
  <si>
    <t>1000 E 80th Pl</t>
  </si>
  <si>
    <t>402 North</t>
  </si>
  <si>
    <t>Pacers Basketball Corp. Foundation, Inc.</t>
  </si>
  <si>
    <t>35-1908365</t>
  </si>
  <si>
    <t>125 S Pennsylvania St</t>
  </si>
  <si>
    <t>GRANT HOSPITAL OF CHICAGO</t>
  </si>
  <si>
    <t>36-2167090</t>
  </si>
  <si>
    <t>500 N Western Avenue</t>
  </si>
  <si>
    <t>#204</t>
  </si>
  <si>
    <t>ILLINOIS BAR FOUNDATION</t>
  </si>
  <si>
    <t>37-0810222</t>
  </si>
  <si>
    <t>20 South Clark,Suite 910</t>
  </si>
  <si>
    <t>I12 (Fund Raising and/or Fund Distribution)</t>
  </si>
  <si>
    <t>SHIAWASSEE COMMUNITY FOUNDATION</t>
  </si>
  <si>
    <t>38-3285624</t>
  </si>
  <si>
    <t>P.O. Box 753</t>
  </si>
  <si>
    <t>Owosso</t>
  </si>
  <si>
    <t>LOUIS AND HELEN PADNOS FOUNDATION</t>
  </si>
  <si>
    <t>38-3476218</t>
  </si>
  <si>
    <t>THE ALVIN L GLICK FOUNDATION</t>
  </si>
  <si>
    <t>38-3551619</t>
  </si>
  <si>
    <t>JOSEPH &amp; SARAH VAN DRISSE CHARITABLE TRUST UAD 12-1-1999</t>
  </si>
  <si>
    <t>39-6719617</t>
  </si>
  <si>
    <t>111 N Washington St</t>
  </si>
  <si>
    <t>LORRAINE AND LEROY CAMPBELL FOUNDATION</t>
  </si>
  <si>
    <t>45-2386835</t>
  </si>
  <si>
    <t>200 E Long Lake Rd Ste 110</t>
  </si>
  <si>
    <t>THE JOHN AND ROSEMARY BROWN FAMILY FOUNDATION</t>
  </si>
  <si>
    <t>58-6343478</t>
  </si>
  <si>
    <t>750 Trade Centre Way Ste 145</t>
  </si>
  <si>
    <t>Portage</t>
  </si>
  <si>
    <t>James E Dutton Foundation Inc</t>
  </si>
  <si>
    <t>71-0985492</t>
  </si>
  <si>
    <t>6655 Rainbow Dr</t>
  </si>
  <si>
    <t>CLEVELAND FOUNDATION</t>
  </si>
  <si>
    <t>34-0714588</t>
  </si>
  <si>
    <t>1422 Euclid Ave, Ste 1300</t>
  </si>
  <si>
    <t>Oconomowoc Area Foundation Inc</t>
  </si>
  <si>
    <t>75-3266194</t>
  </si>
  <si>
    <t>Legacy Fund Inc</t>
  </si>
  <si>
    <t>20-0900981</t>
  </si>
  <si>
    <t>515 E. Main St</t>
  </si>
  <si>
    <t>Suite 100</t>
  </si>
  <si>
    <t>ATHENS FOUNDATION INCORPORATION</t>
  </si>
  <si>
    <t>31-1040215</t>
  </si>
  <si>
    <t>PO Box 366</t>
  </si>
  <si>
    <t>2 S. Court St.</t>
  </si>
  <si>
    <t>Scripps Howard Foundation</t>
  </si>
  <si>
    <t>31-6025114</t>
  </si>
  <si>
    <t>PO Box 5380</t>
  </si>
  <si>
    <t>312 Walnut St</t>
  </si>
  <si>
    <t>Clearing Corporation Charitablefoundation</t>
  </si>
  <si>
    <t>20-5258907</t>
  </si>
  <si>
    <t>22 Orchard Pl</t>
  </si>
  <si>
    <t>Seramur Family Foundation Inc</t>
  </si>
  <si>
    <t>39-1806609</t>
  </si>
  <si>
    <t>2026 County Road Hh</t>
  </si>
  <si>
    <t>Plover</t>
  </si>
  <si>
    <t>THE GEORGE E RICHMOND FOUNDATION</t>
  </si>
  <si>
    <t>20-4234710</t>
  </si>
  <si>
    <t>737 N Michigan Avue Suite 1210</t>
  </si>
  <si>
    <t>Healthcare Foundation of Northern Lake County</t>
  </si>
  <si>
    <t>20-5253008</t>
  </si>
  <si>
    <t>114 S Genesee St Ste 505</t>
  </si>
  <si>
    <t>Waukegan</t>
  </si>
  <si>
    <t>RED LODGE FOUNDATION</t>
  </si>
  <si>
    <t>26-1509357</t>
  </si>
  <si>
    <t>1191 Lindenwood Dr</t>
  </si>
  <si>
    <t>Scott County Community Foundation Inc</t>
  </si>
  <si>
    <t>35-2014369</t>
  </si>
  <si>
    <t>PO Box 25</t>
  </si>
  <si>
    <t>Scottsburg</t>
  </si>
  <si>
    <t>BIBLE LEAGUE FOUNDATION</t>
  </si>
  <si>
    <t>36-3258728</t>
  </si>
  <si>
    <t>1 Bible League Plaza</t>
  </si>
  <si>
    <t>Crete</t>
  </si>
  <si>
    <t>Community Foundation of Central Illinois Depository</t>
  </si>
  <si>
    <t>37-1283245</t>
  </si>
  <si>
    <t>331 Fulton St Ste 310</t>
  </si>
  <si>
    <t>GRAND ACTION FOUNDATION</t>
  </si>
  <si>
    <t>38-3147133</t>
  </si>
  <si>
    <t>120 Lyon Nw Waters Bldg</t>
  </si>
  <si>
    <t>SMITHVILLE CHARITABLE FOUNDATION INC</t>
  </si>
  <si>
    <t>46-2100122</t>
  </si>
  <si>
    <t>820 West Termperance St</t>
  </si>
  <si>
    <t>Ellettsville</t>
  </si>
  <si>
    <t>ROCKWELL AUTOMATION CHARITABLE CORPORATION</t>
  </si>
  <si>
    <t>48-1307009</t>
  </si>
  <si>
    <t>LG&amp;E AND KU FOUNDATION INC</t>
  </si>
  <si>
    <t>61-1257368</t>
  </si>
  <si>
    <t>220 W Main St</t>
  </si>
  <si>
    <t>KREHBIEL FAMILY FOUNDATION</t>
  </si>
  <si>
    <t>84-1621866</t>
  </si>
  <si>
    <t>807 Chestnut Ave</t>
  </si>
  <si>
    <t>FIRST MIDWEST CHARITABLE FOUNDATION</t>
  </si>
  <si>
    <t>05-0545258</t>
  </si>
  <si>
    <t>One Pierce Pl 1500</t>
  </si>
  <si>
    <t>Itasca</t>
  </si>
  <si>
    <t>Kirkland &amp; Ellis Foundation</t>
  </si>
  <si>
    <t>36-3160355</t>
  </si>
  <si>
    <t>300 N Lasalle Dr Ste 1018</t>
  </si>
  <si>
    <t>Uvmc Foundation</t>
  </si>
  <si>
    <t>31-1581859</t>
  </si>
  <si>
    <t>3130 N County Road 25a</t>
  </si>
  <si>
    <t>The Findlay-Hancock County Community Foundation</t>
  </si>
  <si>
    <t>34-1713261</t>
  </si>
  <si>
    <t>101 W Sandusky St Ste 207</t>
  </si>
  <si>
    <t>Findlay</t>
  </si>
  <si>
    <t>Community Foundation Partnership, Inc.</t>
  </si>
  <si>
    <t>35-1889139</t>
  </si>
  <si>
    <t>P.O. Box 1235</t>
  </si>
  <si>
    <t>Bedford</t>
  </si>
  <si>
    <t>Ann B Gipson Charitable Foundation Inc</t>
  </si>
  <si>
    <t>27-4340754</t>
  </si>
  <si>
    <t>1914 Stanley Gault Pkwy</t>
  </si>
  <si>
    <t>Jacqueline G Archer Charitable Tr</t>
  </si>
  <si>
    <t>68-6218949</t>
  </si>
  <si>
    <t>10 S Dearborn St Ste 2 Fl</t>
  </si>
  <si>
    <t>Lincoln M Knorr Residuary Trust 4411206000</t>
  </si>
  <si>
    <t>38-6725549</t>
  </si>
  <si>
    <t>Kosciusko County Community Foundation, Inc.</t>
  </si>
  <si>
    <t>35-6086777</t>
  </si>
  <si>
    <t>102 E Market St</t>
  </si>
  <si>
    <t>Wayne County, Indiana, Foundation, Inc.</t>
  </si>
  <si>
    <t>35-1406033</t>
  </si>
  <si>
    <t>33 South 7th St</t>
  </si>
  <si>
    <t>MICHIGAN GATEWAY COMM FOUNDATION</t>
  </si>
  <si>
    <t>38-2180730</t>
  </si>
  <si>
    <t>111 Days Ave</t>
  </si>
  <si>
    <t>Buchanan</t>
  </si>
  <si>
    <t>Damico Family Foundation</t>
  </si>
  <si>
    <t>01-0702653</t>
  </si>
  <si>
    <t>Roy and Jackie Sweeney Family</t>
  </si>
  <si>
    <t>43-2027253</t>
  </si>
  <si>
    <t>Hamilton Community Foundation, Inc.</t>
  </si>
  <si>
    <t>31-6038277</t>
  </si>
  <si>
    <t>319 N Third St</t>
  </si>
  <si>
    <t>COMMUNITY FOUNDATION OF GREATER ROCHESTER</t>
  </si>
  <si>
    <t>38-2476777</t>
  </si>
  <si>
    <t>303 East St</t>
  </si>
  <si>
    <t>Rochester</t>
  </si>
  <si>
    <t>Susan Crown Exchange Inc</t>
  </si>
  <si>
    <t>26-2991942</t>
  </si>
  <si>
    <t>4 E Ohio St Ste 30</t>
  </si>
  <si>
    <t>Anthony Pritzker Fam Foundation</t>
  </si>
  <si>
    <t>30-0039840</t>
  </si>
  <si>
    <t>Gale Foundation</t>
  </si>
  <si>
    <t>34-1812999</t>
  </si>
  <si>
    <t>William Courtney Family Foundation</t>
  </si>
  <si>
    <t>34-1905199</t>
  </si>
  <si>
    <t>Lutheran Legacy Foundation Inc</t>
  </si>
  <si>
    <t>20-3142622</t>
  </si>
  <si>
    <t>Po Box 31</t>
  </si>
  <si>
    <t>Felpausch Foundation</t>
  </si>
  <si>
    <t>38-3417534</t>
  </si>
  <si>
    <t>5934 Wellington Pl</t>
  </si>
  <si>
    <t>BIDDLE MEMORIAL FOUNDATION INC</t>
  </si>
  <si>
    <t>35-2125436</t>
  </si>
  <si>
    <t>PO Box 215</t>
  </si>
  <si>
    <t>Sheridan</t>
  </si>
  <si>
    <t>B82 (Scholarships, Student Financial Aid, Awards)</t>
  </si>
  <si>
    <t>Donald Young Foundation</t>
  </si>
  <si>
    <t>45-2631596</t>
  </si>
  <si>
    <t>1500 N Astor St Apt 9</t>
  </si>
  <si>
    <t>Hudson Community Foundation</t>
  </si>
  <si>
    <t>34-1935499</t>
  </si>
  <si>
    <t>PO Box 944</t>
  </si>
  <si>
    <t>Leppien Foundation</t>
  </si>
  <si>
    <t>38-2692343</t>
  </si>
  <si>
    <t>815 N State St</t>
  </si>
  <si>
    <t>Alma</t>
  </si>
  <si>
    <t>Pediatric Endowment Fund Inc</t>
  </si>
  <si>
    <t>61-1313520</t>
  </si>
  <si>
    <t>Po Box 877</t>
  </si>
  <si>
    <t>Amy Helpenstell Foundation</t>
  </si>
  <si>
    <t>20-0563962</t>
  </si>
  <si>
    <t>2138 31st Ave</t>
  </si>
  <si>
    <t>CLYDE N DAY FOUNDATION</t>
  </si>
  <si>
    <t>45-5054103</t>
  </si>
  <si>
    <t>RICHARD H AND VIOLA B THORP CHARITABLE TR FOUNDATION</t>
  </si>
  <si>
    <t>20-6148240</t>
  </si>
  <si>
    <t xml:space="preserve">The Community Foundation of West Chester/Liberty </t>
  </si>
  <si>
    <t>31-1661966</t>
  </si>
  <si>
    <t>5641 Union Centre Dr</t>
  </si>
  <si>
    <t>Richard E and Sandra J Dauch Family Foundation</t>
  </si>
  <si>
    <t>30-0074517</t>
  </si>
  <si>
    <t>203 Mason St</t>
  </si>
  <si>
    <t>Charlevoix</t>
  </si>
  <si>
    <t>Barry County Community Foundation</t>
  </si>
  <si>
    <t>38-3246131</t>
  </si>
  <si>
    <t>231 South Broadway Street</t>
  </si>
  <si>
    <t>Gerhard H and Patricia Weiler Family Foundation</t>
  </si>
  <si>
    <t>36-4379492</t>
  </si>
  <si>
    <t>9807 Alden Rd</t>
  </si>
  <si>
    <t>Harvard</t>
  </si>
  <si>
    <t>A Good Neighbor Foundation</t>
  </si>
  <si>
    <t>22-3885976</t>
  </si>
  <si>
    <t>414 Walnut St Ste 1014</t>
  </si>
  <si>
    <t>FOUNDATION FOR THE TRI-STATE COMMUNITY INC</t>
  </si>
  <si>
    <t>61-0729266</t>
  </si>
  <si>
    <t>855 Central Avenue</t>
  </si>
  <si>
    <t>Meriter Foundation Inc</t>
  </si>
  <si>
    <t>23-7098688</t>
  </si>
  <si>
    <t>202 S Park St</t>
  </si>
  <si>
    <t>COLONEL IL JAMES N PRITZKER CHARITABLE DISTRIBUTION FUND</t>
  </si>
  <si>
    <t>30-0040386</t>
  </si>
  <si>
    <t>104 S Michigan Avenue</t>
  </si>
  <si>
    <t>Suite 525</t>
  </si>
  <si>
    <t>Eva L and Joseph M Bruening Foundation</t>
  </si>
  <si>
    <t>34-1584378</t>
  </si>
  <si>
    <t>Warren Brown Family Foundation</t>
  </si>
  <si>
    <t>34-1811779</t>
  </si>
  <si>
    <t>6475 Perimeter Drive Box 163</t>
  </si>
  <si>
    <t>Dewine Family Foundation Inc</t>
  </si>
  <si>
    <t>31-1483132</t>
  </si>
  <si>
    <t>3030 Griest Ave</t>
  </si>
  <si>
    <t>Mary D Clapham Charitable Tr</t>
  </si>
  <si>
    <t>51-6570085</t>
  </si>
  <si>
    <t>Lumina Foundation for Education Inc</t>
  </si>
  <si>
    <t>35-1813228</t>
  </si>
  <si>
    <t>30 S Meridian St Ste 700</t>
  </si>
  <si>
    <t>The John R Houlsby Foundation</t>
  </si>
  <si>
    <t>36-3915186</t>
  </si>
  <si>
    <t>212 Bridle Path Cir</t>
  </si>
  <si>
    <t>Comer Science and Education Foundation</t>
  </si>
  <si>
    <t>36-4244783</t>
  </si>
  <si>
    <t>20875 Crossroads Cir</t>
  </si>
  <si>
    <t>Stanley and Judith Frankel Family Foundation</t>
  </si>
  <si>
    <t>38-3531285</t>
  </si>
  <si>
    <t>Dorothy D &amp; Joseph A Moller</t>
  </si>
  <si>
    <t>74-6355685</t>
  </si>
  <si>
    <t>33 E College St</t>
  </si>
  <si>
    <t xml:space="preserve">WAYNE COUNTY COMMUNITY FOUNDATION                                     </t>
  </si>
  <si>
    <t>34-1281026</t>
  </si>
  <si>
    <t>517 N Market St</t>
  </si>
  <si>
    <t>Florence and Laurence Spungenfamily Foundation</t>
  </si>
  <si>
    <t>20-7155204</t>
  </si>
  <si>
    <t>C/O David Hafft - 300 Village Green</t>
  </si>
  <si>
    <t>Irving I Stone Foundation</t>
  </si>
  <si>
    <t>34-1892327</t>
  </si>
  <si>
    <t>1 American Rd</t>
  </si>
  <si>
    <t>Tuscarawas County Community Foundation</t>
  </si>
  <si>
    <t>34-1930804</t>
  </si>
  <si>
    <t>Sam Shine Foundation Inc</t>
  </si>
  <si>
    <t>35-1961730</t>
  </si>
  <si>
    <t>Po Box 1407</t>
  </si>
  <si>
    <t>Roberti Foundation</t>
  </si>
  <si>
    <t>36-4265528</t>
  </si>
  <si>
    <t>769 Beverly Pl</t>
  </si>
  <si>
    <t>Vander Laan Family Foundation</t>
  </si>
  <si>
    <t>38-3440120</t>
  </si>
  <si>
    <t>2764 Beechtree Dr Sw</t>
  </si>
  <si>
    <t>Byron Center</t>
  </si>
  <si>
    <t>Center for Great Neighborhoods of Covington Inc</t>
  </si>
  <si>
    <t>61-0733046</t>
  </si>
  <si>
    <t>1650 Russell St</t>
  </si>
  <si>
    <t>Schmidt-Messmer Perpetual Charitable Trust 3402761800</t>
  </si>
  <si>
    <t>61-6232326</t>
  </si>
  <si>
    <t>NORTHERN INDIANA COMMUNITY FOUNDATION INC</t>
  </si>
  <si>
    <t>35-1912317</t>
  </si>
  <si>
    <t>PO Box 807</t>
  </si>
  <si>
    <t>Magnus Charitable Tr</t>
  </si>
  <si>
    <t>36-4049284</t>
  </si>
  <si>
    <t>600 W Rand Rd Ste A104</t>
  </si>
  <si>
    <t>Graff Family Foundation</t>
  </si>
  <si>
    <t>45-5340784</t>
  </si>
  <si>
    <t>5021 Green Meadows Rd</t>
  </si>
  <si>
    <t>Max P Gottfried Testamentary Charitable Tr</t>
  </si>
  <si>
    <t>65-6404584</t>
  </si>
  <si>
    <t>5152 Lerado Rd</t>
  </si>
  <si>
    <t>Clyde and Helen Wu Family Foundation</t>
  </si>
  <si>
    <t>38-3441481</t>
  </si>
  <si>
    <t>1275 Audubon Rd</t>
  </si>
  <si>
    <t>OPRAH WINFREY OPERATING FOUNDATION</t>
  </si>
  <si>
    <t>74-3048315</t>
  </si>
  <si>
    <t>110 N Carpenter St</t>
  </si>
  <si>
    <t>Zeiser Fam Foundation Tr</t>
  </si>
  <si>
    <t>31-6654782</t>
  </si>
  <si>
    <t>2648 Coshocton Ct</t>
  </si>
  <si>
    <t>Kenneth and Anne Griffin Foundation</t>
  </si>
  <si>
    <t>36-4747915</t>
  </si>
  <si>
    <t>131 S Dearborn Street</t>
  </si>
  <si>
    <t>Schuler Family Foundation</t>
  </si>
  <si>
    <t>36-4154510</t>
  </si>
  <si>
    <t>Mary Cross Tippmann Foundation Charitable Trust</t>
  </si>
  <si>
    <t>35-6665908</t>
  </si>
  <si>
    <t>9009 Coldwater Rd</t>
  </si>
  <si>
    <t>Trager Family Foundation Inc</t>
  </si>
  <si>
    <t>61-1337078</t>
  </si>
  <si>
    <t>601 W Market Street</t>
  </si>
  <si>
    <t>The Bill Bass Foundation</t>
  </si>
  <si>
    <t>61-6314816</t>
  </si>
  <si>
    <t>55 W Monroe St Ste 3550</t>
  </si>
  <si>
    <t>Charles &amp; Sharon Fruit Foundation Inc</t>
  </si>
  <si>
    <t>58-2665201</t>
  </si>
  <si>
    <t>12 Eagle Ct</t>
  </si>
  <si>
    <t>Edwardsville</t>
  </si>
  <si>
    <t>The Maureen and Stanley Moore Family Foundation</t>
  </si>
  <si>
    <t>84-1719278</t>
  </si>
  <si>
    <t>C/O William E Reichard 1991 Crocker</t>
  </si>
  <si>
    <t>Ceres Trust</t>
  </si>
  <si>
    <t>20-5768077</t>
  </si>
  <si>
    <t>10700 W Research Dr Ste 145</t>
  </si>
  <si>
    <t>Vera and Joseph Dresner Foundationinc</t>
  </si>
  <si>
    <t>20-5838578</t>
  </si>
  <si>
    <t>6960 Orchard Lake Rd Ste 149</t>
  </si>
  <si>
    <t>Ellis Foundation Inc</t>
  </si>
  <si>
    <t>58-6362281</t>
  </si>
  <si>
    <t>ANDROSE FOUNDATION</t>
  </si>
  <si>
    <t>26-1624973</t>
  </si>
  <si>
    <t>Po Box 277</t>
  </si>
  <si>
    <t>HARLEY A AND LILLIAN M BUTLER FOUNDATION</t>
  </si>
  <si>
    <t>39-6652513</t>
  </si>
  <si>
    <t>FRED &amp; IRENE MICHEL CHARIT TUA 5001100 0386490</t>
  </si>
  <si>
    <t>52-7201412</t>
  </si>
  <si>
    <t>The Brinson Foundation</t>
  </si>
  <si>
    <t>68-0656415</t>
  </si>
  <si>
    <t>737 N Michigan Ave Ste 1850</t>
  </si>
  <si>
    <t>William Stark Jones Foundation</t>
  </si>
  <si>
    <t>39-6786974</t>
  </si>
  <si>
    <t>250 W Coventry Ct Ste 207</t>
  </si>
  <si>
    <t>Greater Cincinnati Foundation</t>
  </si>
  <si>
    <t>31-0669700</t>
  </si>
  <si>
    <t>200 W Fourth St</t>
  </si>
  <si>
    <t>NEW ALBANY COMMUNITY FOUNDATION</t>
  </si>
  <si>
    <t>31-1409264</t>
  </si>
  <si>
    <t>6525 W Campus Oval Ste 100</t>
  </si>
  <si>
    <t>WILLIAM BUTTERWORTH MEMORIAL TRUST</t>
  </si>
  <si>
    <t>36-2255481</t>
  </si>
  <si>
    <t>506 15th St</t>
  </si>
  <si>
    <t>J &amp; V FLYNN FOUNDATION</t>
  </si>
  <si>
    <t>37-1387143</t>
  </si>
  <si>
    <t>KARDOS FAMILY FOUNDATION</t>
  </si>
  <si>
    <t>37-6371315</t>
  </si>
  <si>
    <t>Po Box 167</t>
  </si>
  <si>
    <t>COMMUNITY FOUNDATION OF GREATER FLINT</t>
  </si>
  <si>
    <t>38-2190667</t>
  </si>
  <si>
    <t>500 S Saginaw St</t>
  </si>
  <si>
    <t>FOTSCH FAMILY FOUNDATION</t>
  </si>
  <si>
    <t>46-2601906</t>
  </si>
  <si>
    <t>20985 Carrington Dr</t>
  </si>
  <si>
    <t>MARGARET BAKER FOUNDATION</t>
  </si>
  <si>
    <t>36-4218007</t>
  </si>
  <si>
    <t>10 Old Hunt Rd</t>
  </si>
  <si>
    <t>CARSON-MYRE CHARITABLE FOUNDATION</t>
  </si>
  <si>
    <t>36-4597768</t>
  </si>
  <si>
    <t>Po Box 194</t>
  </si>
  <si>
    <t>HD SMITH FOUNDATION</t>
  </si>
  <si>
    <t>45-2487072</t>
  </si>
  <si>
    <t>3063 Flat Ave</t>
  </si>
  <si>
    <t>Grand Haven Area Community Foundation, Inc.</t>
  </si>
  <si>
    <t>23-7108776</t>
  </si>
  <si>
    <t>One South Harbor Ave</t>
  </si>
  <si>
    <t>CENTER FOR ORTHOPAEDIC TRAUMA ADVANCEMENT</t>
  </si>
  <si>
    <t>30-0550076</t>
  </si>
  <si>
    <t>6300 N River Rd Ste 727</t>
  </si>
  <si>
    <t>KOMAREK-HYDE-MCQUEEN FOUNDATION</t>
  </si>
  <si>
    <t>20-6437305</t>
  </si>
  <si>
    <t>3400 Dundee Rd Ste 320</t>
  </si>
  <si>
    <t>ROBERT AND ADELE SCHIFF FAMILY FOUNDATION INC</t>
  </si>
  <si>
    <t>30-0206688</t>
  </si>
  <si>
    <t>HANLEY FOUNDATION</t>
  </si>
  <si>
    <t>02-0631312</t>
  </si>
  <si>
    <t>855 Auburn Rd</t>
  </si>
  <si>
    <t>THE RAYMOND AND RITA FOOS FAMILY CHARITABLE FOUNDATION</t>
  </si>
  <si>
    <t>31-1529311</t>
  </si>
  <si>
    <t>10307 Riverwalk Ln</t>
  </si>
  <si>
    <t>HATTIE LARLHAM FOUNDATION</t>
  </si>
  <si>
    <t>34-1696794</t>
  </si>
  <si>
    <t>9772 Diagonal Rd</t>
  </si>
  <si>
    <t>Mantua</t>
  </si>
  <si>
    <t>BAY AREA COMMUNITY FOUNDATION</t>
  </si>
  <si>
    <t>38-2418086</t>
  </si>
  <si>
    <t>1000 Adams Street</t>
  </si>
  <si>
    <t>GREATER OTTAWA COUNTY UNITED WAY INC</t>
  </si>
  <si>
    <t>38-3522782</t>
  </si>
  <si>
    <t>Po Box 1349</t>
  </si>
  <si>
    <t>MARIETTA COMMUNITY FOUNDATION INC</t>
  </si>
  <si>
    <t>74-3054287</t>
  </si>
  <si>
    <t>PO Box 77</t>
  </si>
  <si>
    <t>Community Foundation of Dunn County Inc..</t>
  </si>
  <si>
    <t>39-1819945</t>
  </si>
  <si>
    <t>500 Main Street</t>
  </si>
  <si>
    <t>Suite 322</t>
  </si>
  <si>
    <t>Menomonie</t>
  </si>
  <si>
    <t>HOSPIRA FOUNDATION</t>
  </si>
  <si>
    <t>20-2039190</t>
  </si>
  <si>
    <t>275 N Field Dr H-1 4se Dept 9730</t>
  </si>
  <si>
    <t>THE GEETHA GOVINDARAJ FOUNDATION</t>
  </si>
  <si>
    <t>91-2088671</t>
  </si>
  <si>
    <t>1315 Chissom Trl</t>
  </si>
  <si>
    <t>THE R B ANIS EDUCATIONAL FOUNDATION</t>
  </si>
  <si>
    <t>35-6627460</t>
  </si>
  <si>
    <t>11999 Lakeside Dr</t>
  </si>
  <si>
    <t>Fishers</t>
  </si>
  <si>
    <t>LA GRANGE MEMORIAL HOSPITAL FOUNDATION</t>
  </si>
  <si>
    <t>30-0247776</t>
  </si>
  <si>
    <t>5101 Willow Springs Rd</t>
  </si>
  <si>
    <t>JOHN AND CAROLYN PETERSON FOUNDATION INC</t>
  </si>
  <si>
    <t>43-1974269</t>
  </si>
  <si>
    <t>Po Box 1507</t>
  </si>
  <si>
    <t>Kenneth A. Scott Charitable Trust</t>
  </si>
  <si>
    <t>34-7034544</t>
  </si>
  <si>
    <t>c/o KeyBank NonProfit Services</t>
  </si>
  <si>
    <t>100 Public Square, Suite 600</t>
  </si>
  <si>
    <t>D20 (Animal Protection and Welfare (includes Humane Societies and SPCAs))</t>
  </si>
  <si>
    <t>STARK COMMUNITY FOUNDATION INC</t>
  </si>
  <si>
    <t>34-0943665</t>
  </si>
  <si>
    <t>400 Market Ave N</t>
  </si>
  <si>
    <t>TRZCINSKI FOUNDATION</t>
  </si>
  <si>
    <t>34-1852993</t>
  </si>
  <si>
    <t>8050 Corporate Cir</t>
  </si>
  <si>
    <t>North Royalton</t>
  </si>
  <si>
    <t>TING TSUNG AND WEI FONG CHAO FOUNDATION</t>
  </si>
  <si>
    <t>30-0005201</t>
  </si>
  <si>
    <t>NAHEY CHARITABLE FOUNDATION</t>
  </si>
  <si>
    <t>46-1549516</t>
  </si>
  <si>
    <t>600 College Ave</t>
  </si>
  <si>
    <t>MICHAEL AND CHANDRA RUDD FOUNDATION INC</t>
  </si>
  <si>
    <t>61-1293806</t>
  </si>
  <si>
    <t>Po Box 32427</t>
  </si>
  <si>
    <t>JOSEPH A AND SUSAN J KAINZ FOUNDATION</t>
  </si>
  <si>
    <t>36-4394506</t>
  </si>
  <si>
    <t>1101 Perimeter Dr Ste 760</t>
  </si>
  <si>
    <t>WALTER E TERHUNE MEMORIAL FUND</t>
  </si>
  <si>
    <t>35-2446722</t>
  </si>
  <si>
    <t>BRYAN AREA FOUNDATION</t>
  </si>
  <si>
    <t>23-7041310</t>
  </si>
  <si>
    <t>PO Box 651</t>
  </si>
  <si>
    <t>Bryan</t>
  </si>
  <si>
    <t>CLAUDE JONES TRUST</t>
  </si>
  <si>
    <t>75-6183964</t>
  </si>
  <si>
    <t>BROCKER FOUNDATION INCORPORATED</t>
  </si>
  <si>
    <t>27-4347700</t>
  </si>
  <si>
    <t>6075 Silica Road</t>
  </si>
  <si>
    <t>Austintown</t>
  </si>
  <si>
    <t>NIGHT OWL FOUNDATION</t>
  </si>
  <si>
    <t>20-5905161</t>
  </si>
  <si>
    <t>VIRGINIA B TOULMIN CHARITABLE FOUNDATION III 20-102080246164</t>
  </si>
  <si>
    <t>13-7385769</t>
  </si>
  <si>
    <t>10 West Second Street 26th Floor</t>
  </si>
  <si>
    <t>JOAN C EDWARDS CHARITABLE FOUDATION</t>
  </si>
  <si>
    <t>20-8374445</t>
  </si>
  <si>
    <t>959 W Saint Clair Ave Ste 300</t>
  </si>
  <si>
    <t>LAKONISHOK FOUNDATION</t>
  </si>
  <si>
    <t>46-3460720</t>
  </si>
  <si>
    <t>1943 N Burling St</t>
  </si>
  <si>
    <t>Circle of Service Foundation</t>
  </si>
  <si>
    <t>36-4185939</t>
  </si>
  <si>
    <t>PO Box 8529</t>
  </si>
  <si>
    <t>ROBERT J &amp; LORETTA W COONEY FAMILY FOUNDATION</t>
  </si>
  <si>
    <t>36-4408645</t>
  </si>
  <si>
    <t>120 N Lasalle St Ste 30</t>
  </si>
  <si>
    <t>THE LAKEVIEW FOUNDATION INC</t>
  </si>
  <si>
    <t>39-1857646</t>
  </si>
  <si>
    <t>Po Box 253</t>
  </si>
  <si>
    <t>Thiensville</t>
  </si>
  <si>
    <t>Portland Foundation</t>
  </si>
  <si>
    <t>35-6028362</t>
  </si>
  <si>
    <t>112 East Main Street</t>
  </si>
  <si>
    <t>Holmes County Education Foundation</t>
  </si>
  <si>
    <t>34-1631041</t>
  </si>
  <si>
    <t>114 North Clay Street</t>
  </si>
  <si>
    <t>Millersburg</t>
  </si>
  <si>
    <t>ESTEE LAUDER FUND TR</t>
  </si>
  <si>
    <t>13-7453146</t>
  </si>
  <si>
    <t>HENDRICKS FAMILY FOUNDATION INC</t>
  </si>
  <si>
    <t>20-0874851</t>
  </si>
  <si>
    <t>2870 Riverside Dr</t>
  </si>
  <si>
    <t>MARGARET CLARK MORGAN FOUNDATION</t>
  </si>
  <si>
    <t>34-1948246</t>
  </si>
  <si>
    <t>10 W. Streetsboro Street, Suite 200</t>
  </si>
  <si>
    <t>THE JUSTIN AND VALERIE BLAIR POTTER FOUNDATION</t>
  </si>
  <si>
    <t>62-6306577</t>
  </si>
  <si>
    <t>231 S Lasalle St Il1 231 10 05</t>
  </si>
  <si>
    <t>ROBERT W ROUNSAVALL JR FAMILY FOUNDATION INC</t>
  </si>
  <si>
    <t>20-0991327</t>
  </si>
  <si>
    <t>Po Box 19799</t>
  </si>
  <si>
    <t>ANDREW &amp; ALICE FISCHER CHARITABLE TRUST</t>
  </si>
  <si>
    <t>20-6792124</t>
  </si>
  <si>
    <t>MORRISON FAMILY FOUNDATION</t>
  </si>
  <si>
    <t>36-4151134</t>
  </si>
  <si>
    <t>1125 E 48th St</t>
  </si>
  <si>
    <t>GLENDENNING FAMILY FOUNDATION INC MA 11160100</t>
  </si>
  <si>
    <t>39-1981729</t>
  </si>
  <si>
    <t>2009 West Ave S</t>
  </si>
  <si>
    <t>THE GORDON FAMILY FOUNDATION</t>
  </si>
  <si>
    <t>38-7019693</t>
  </si>
  <si>
    <t>EMPOWERMENT FOUNDATION</t>
  </si>
  <si>
    <t>38-3384718</t>
  </si>
  <si>
    <t>9300 Shelbyville Rd Ste 300</t>
  </si>
  <si>
    <t>IRIONS FOUNDATION INC</t>
  </si>
  <si>
    <t>35-2022821</t>
  </si>
  <si>
    <t>2602 Marina Dr</t>
  </si>
  <si>
    <t>SIDLEY AUSTIN FOUNDATION</t>
  </si>
  <si>
    <t>20-3980527</t>
  </si>
  <si>
    <t>1 S Dearborn St Ste 2300</t>
  </si>
  <si>
    <t>THE JOSEPH &amp; SALLY HANDLEMAN CHARITABLE FOUNDATION TRUST A</t>
  </si>
  <si>
    <t>65-6263326</t>
  </si>
  <si>
    <t>THE KJELLSTROM FAMILY FOUNDATION</t>
  </si>
  <si>
    <t>20-6368876</t>
  </si>
  <si>
    <t>5901 Churchview Dr</t>
  </si>
  <si>
    <t>SNOWY OWL FOUNDATION</t>
  </si>
  <si>
    <t>27-3594673</t>
  </si>
  <si>
    <t>471 W Main St Ste 500</t>
  </si>
  <si>
    <t>MARIE E WOLF CHARITABLE TRUST 110011036797</t>
  </si>
  <si>
    <t>36-7160372</t>
  </si>
  <si>
    <t>111 W Monroe St-Tax Div 10c</t>
  </si>
  <si>
    <t>Jessica Fund</t>
  </si>
  <si>
    <t>36-6850332</t>
  </si>
  <si>
    <t>1500 N Lake Shore Dr</t>
  </si>
  <si>
    <t>KEITH A IVERSON FOUNDATION</t>
  </si>
  <si>
    <t>38-3378231</t>
  </si>
  <si>
    <t>300 E Long Lake Rd Ste 360</t>
  </si>
  <si>
    <t>DOLE FAMILY FOUNDATION</t>
  </si>
  <si>
    <t>38-3519399</t>
  </si>
  <si>
    <t>1919 Boston St Se Apt B319</t>
  </si>
  <si>
    <t>TODD &amp; KAREN WANEK FAMILY FOUNDATION LTD</t>
  </si>
  <si>
    <t>27-3309697</t>
  </si>
  <si>
    <t>VALDA CROWELL HARRY CHARITABLE TRUST</t>
  </si>
  <si>
    <t>56-6422637</t>
  </si>
  <si>
    <t>ARNOLD C DIENSTBERGER FOUNDATION INC</t>
  </si>
  <si>
    <t>34-6539337</t>
  </si>
  <si>
    <t>Po Box 223</t>
  </si>
  <si>
    <t>Delphos</t>
  </si>
  <si>
    <t>ALBERT J SPEH JR &amp; CLAIRE R SPEH FOUNDATION</t>
  </si>
  <si>
    <t>36-4118596</t>
  </si>
  <si>
    <t>10700 W Higgins Rd Ste 250</t>
  </si>
  <si>
    <t>HERE TO HELP FOUNDATION</t>
  </si>
  <si>
    <t>20-8057969</t>
  </si>
  <si>
    <t>Po Box 480</t>
  </si>
  <si>
    <t>Royal Oak</t>
  </si>
  <si>
    <t>METROPOLIS STRATEGIES NFP</t>
  </si>
  <si>
    <t>36-4278088</t>
  </si>
  <si>
    <t>21 S Clark St Ste 4301</t>
  </si>
  <si>
    <t>PEGGY AND BILL SHIFFICK CHARITABLE FOUNDATION</t>
  </si>
  <si>
    <t>76-6112561</t>
  </si>
  <si>
    <t>SOCIAL PHILOSOPHY AND POLICY FOUNDATION</t>
  </si>
  <si>
    <t>34-1502497</t>
  </si>
  <si>
    <t>1616 E Wooster St Ste 24</t>
  </si>
  <si>
    <t>American Endowment Foundation</t>
  </si>
  <si>
    <t>34-1747398</t>
  </si>
  <si>
    <t>1521 Georgetown Rd.</t>
  </si>
  <si>
    <t>Ste 104</t>
  </si>
  <si>
    <t>WARMENHOVEN FAMILY FOUNDATION</t>
  </si>
  <si>
    <t>20-5834839</t>
  </si>
  <si>
    <t>FREDERICK &amp; ELLEN FAIR MEMORIAL FUND P06109006</t>
  </si>
  <si>
    <t>25-6082935</t>
  </si>
  <si>
    <t>1900 E 9th St</t>
  </si>
  <si>
    <t>ABBVIE PATIENT ASSISTANCE FOUNDATION</t>
  </si>
  <si>
    <t>26-1215559</t>
  </si>
  <si>
    <t>1 N Waukegan Rd D031c-Ap31-3nw</t>
  </si>
  <si>
    <t>NIAMOGUE FOUNDATION</t>
  </si>
  <si>
    <t>26-1919649</t>
  </si>
  <si>
    <t>300 E Randolph St Ste 2810</t>
  </si>
  <si>
    <t>WILLIAM AND KATHY DOYLE FOUNDATION</t>
  </si>
  <si>
    <t>35-2260044</t>
  </si>
  <si>
    <t>150 Thorntree Ln</t>
  </si>
  <si>
    <t>TOWNSEND FAMILY FOUNDATION LTD</t>
  </si>
  <si>
    <t>36-4199459</t>
  </si>
  <si>
    <t>321 N Clark St Ste 930</t>
  </si>
  <si>
    <t>ODONOVAN FAM FOUNDATION</t>
  </si>
  <si>
    <t>38-3704443</t>
  </si>
  <si>
    <t>4245 N Oak Pointe Ct Ne</t>
  </si>
  <si>
    <t>SENTRY INSURANCE FOUNDATION INC</t>
  </si>
  <si>
    <t>39-1037370</t>
  </si>
  <si>
    <t>1800 N Point Dr</t>
  </si>
  <si>
    <t>TSF</t>
  </si>
  <si>
    <t>43-6855044</t>
  </si>
  <si>
    <t>2071 N Bechtle Ave 203</t>
  </si>
  <si>
    <t>STAR FAMILY FOUNDATION</t>
  </si>
  <si>
    <t>46-1477949</t>
  </si>
  <si>
    <t>222 N Lasalle St 2000</t>
  </si>
  <si>
    <t>WARNER FOUNDATION</t>
  </si>
  <si>
    <t>51-6522857</t>
  </si>
  <si>
    <t>MARIE CROWLEY FOUNDATION</t>
  </si>
  <si>
    <t>88-0362044</t>
  </si>
  <si>
    <t>6400 Bowen Rd</t>
  </si>
  <si>
    <t>Saranac</t>
  </si>
  <si>
    <t>PARK FAMILY FOUNDATION</t>
  </si>
  <si>
    <t>20-0791170</t>
  </si>
  <si>
    <t>THOMPSON EDUCATIONAL FOUNDATION</t>
  </si>
  <si>
    <t>30-0107259</t>
  </si>
  <si>
    <t>40500 Ann Arbor Rd E Ste 200</t>
  </si>
  <si>
    <t>WILLIAM M WEISS FOUNDATION</t>
  </si>
  <si>
    <t>34-1787366</t>
  </si>
  <si>
    <t>7490 Hunters Hollow Trl</t>
  </si>
  <si>
    <t>Novelty</t>
  </si>
  <si>
    <t>WILLIAM M KELLER FOUNDATION</t>
  </si>
  <si>
    <t>35-1035651</t>
  </si>
  <si>
    <t>DAVID C PETRICK AND ELLEN R PETRICK FOUNDATION</t>
  </si>
  <si>
    <t>36-4281619</t>
  </si>
  <si>
    <t>416 W Cuttriss St</t>
  </si>
  <si>
    <t>ELIZABETH RUTHRUFF WILSON FOUNDATION</t>
  </si>
  <si>
    <t>38-3372941</t>
  </si>
  <si>
    <t>PO Box 27</t>
  </si>
  <si>
    <t>FAYE MCBEATH FOUNDATION</t>
  </si>
  <si>
    <t>39-6074450</t>
  </si>
  <si>
    <t>101 West Pleasant Streeet</t>
  </si>
  <si>
    <t>Suite 210</t>
  </si>
  <si>
    <t>BELFORD FAMILY CHARITABLE FUND INC</t>
  </si>
  <si>
    <t>26-2390465</t>
  </si>
  <si>
    <t>2950 E Broad St</t>
  </si>
  <si>
    <t>WOOD FAMILY FOUNDATION</t>
  </si>
  <si>
    <t>36-7090052</t>
  </si>
  <si>
    <t>Raymond John Wean Foundation</t>
  </si>
  <si>
    <t>34-6505038</t>
  </si>
  <si>
    <t>147 West Market Street</t>
  </si>
  <si>
    <t>Sangamon County Community Foundation, Inc.</t>
  </si>
  <si>
    <t>20-4191391</t>
  </si>
  <si>
    <t>205 South Fifth Street</t>
  </si>
  <si>
    <t>Suite 930</t>
  </si>
  <si>
    <t>ROUNDYS FOUNDATION INC</t>
  </si>
  <si>
    <t>20-0299349</t>
  </si>
  <si>
    <t>Po Box 473</t>
  </si>
  <si>
    <t>HARRY T WILKS FAMILY FOUNDATION</t>
  </si>
  <si>
    <t>27-3046060</t>
  </si>
  <si>
    <t>1763 Hamilton Cleves Rd</t>
  </si>
  <si>
    <t>SPRINGFIELD FOUNDATION</t>
  </si>
  <si>
    <t>31-6030764</t>
  </si>
  <si>
    <t>4 W Main St</t>
  </si>
  <si>
    <t>COMMUNITY FOUNDATION OF MUNCIE AND DELAWARE COUNTY INC</t>
  </si>
  <si>
    <t>35-1640051</t>
  </si>
  <si>
    <t>Po Box 807</t>
  </si>
  <si>
    <t>JOHNSON COUNTY COMMUNITY FOUNDATION INC</t>
  </si>
  <si>
    <t>35-1797437</t>
  </si>
  <si>
    <t>398 S Main St</t>
  </si>
  <si>
    <t>J W GARDNER II FOUNDATION</t>
  </si>
  <si>
    <t>37-1404507</t>
  </si>
  <si>
    <t>Po Box 140</t>
  </si>
  <si>
    <t>HERBERT AND BUI SIMON FOUNDATION INC</t>
  </si>
  <si>
    <t>46-2577284</t>
  </si>
  <si>
    <t>225 W Washington St</t>
  </si>
  <si>
    <t>ELEANOR SCHWARTZ CHARITABLE FOUNDATION</t>
  </si>
  <si>
    <t>51-6593287</t>
  </si>
  <si>
    <t>MERCY WORKS FOUNDATION INC</t>
  </si>
  <si>
    <t>43-1954871</t>
  </si>
  <si>
    <t>5793 Grande Market Dr</t>
  </si>
  <si>
    <t>Ste H</t>
  </si>
  <si>
    <t>THE ROBERT D AND ALMA MORETON FOUNDATION</t>
  </si>
  <si>
    <t>38-7008245</t>
  </si>
  <si>
    <t>JACK MILLER FAMILY FOUNDATION</t>
  </si>
  <si>
    <t>20-1930514</t>
  </si>
  <si>
    <t>ROBERT C ENGLIN FOUNDATION INC 655D8300</t>
  </si>
  <si>
    <t>35-2054115</t>
  </si>
  <si>
    <t>10378 Courageous Dr</t>
  </si>
  <si>
    <t>THOMAS SIDLIK AND REBECCA BOYLAN FOUNDATION</t>
  </si>
  <si>
    <t>38-3447404</t>
  </si>
  <si>
    <t>HELEN MARAVICH IRRV TRUST</t>
  </si>
  <si>
    <t>43-6765719</t>
  </si>
  <si>
    <t>231 S Lasalle St Il1-231-13-32</t>
  </si>
  <si>
    <t>G CARL BALL FAMILY FOUNDATION</t>
  </si>
  <si>
    <t>83-0366015</t>
  </si>
  <si>
    <t>622 Town Rd</t>
  </si>
  <si>
    <t>CLEVELAND BROWNS FOUNDATION</t>
  </si>
  <si>
    <t>34-1885593</t>
  </si>
  <si>
    <t>76 Lou Groza Blvd</t>
  </si>
  <si>
    <t>Berea</t>
  </si>
  <si>
    <t>CLINTON FAMILY FUND</t>
  </si>
  <si>
    <t>36-3994361</t>
  </si>
  <si>
    <t>5824 S Nashville Ave</t>
  </si>
  <si>
    <t>CHARLES M &amp; HELEN M BROWN MEMORIAL FOUNDATION</t>
  </si>
  <si>
    <t>34-7104901</t>
  </si>
  <si>
    <t>JESSIE BARKER MCKELLAR CHARITABLE FOUNDATION</t>
  </si>
  <si>
    <t>62-6323409</t>
  </si>
  <si>
    <t>ANNA MAY BABE AHERN FOUNDATION</t>
  </si>
  <si>
    <t>32-0140617</t>
  </si>
  <si>
    <t>10600 S Cicero Ave</t>
  </si>
  <si>
    <t>Oak Lawn</t>
  </si>
  <si>
    <t>FREDERICK E &amp; JULIA G NONNEMAN FOUNDATION</t>
  </si>
  <si>
    <t>34-1881601</t>
  </si>
  <si>
    <t>26202 Detroit Rd Ste 100 D</t>
  </si>
  <si>
    <t>KNIGHT FAMILY FOUNDATION</t>
  </si>
  <si>
    <t>36-4265122</t>
  </si>
  <si>
    <t>KROGER CO FOUNDATION</t>
  </si>
  <si>
    <t>31-1192929</t>
  </si>
  <si>
    <t>1014 Vine St</t>
  </si>
  <si>
    <t>CHARLES F &amp; ESTHER M FRYE FOUNDATION</t>
  </si>
  <si>
    <t>65-6303071</t>
  </si>
  <si>
    <t>MAKRAY FAMILY FOUNDATION</t>
  </si>
  <si>
    <t>36-4298517</t>
  </si>
  <si>
    <t>THE KING FAMILY FOUNDATION</t>
  </si>
  <si>
    <t>36-3991717</t>
  </si>
  <si>
    <t>1415 W 22nd St Ste 400</t>
  </si>
  <si>
    <t>BRADSHAW-KNIGHT FOUNDATION INC</t>
  </si>
  <si>
    <t>39-1960035</t>
  </si>
  <si>
    <t>712 Harrison St</t>
  </si>
  <si>
    <t>SHADEK FAM FOUNDATION TR</t>
  </si>
  <si>
    <t>51-6540170</t>
  </si>
  <si>
    <t>LLEWELYN FOUNDATION</t>
  </si>
  <si>
    <t>31-1534056</t>
  </si>
  <si>
    <t>PO Box 1488</t>
  </si>
  <si>
    <t>LEONARD C &amp; MILDRED F FERGUSON FOUNDATION</t>
  </si>
  <si>
    <t>65-6245247</t>
  </si>
  <si>
    <t>7 Easton Oval Ea4e86</t>
  </si>
  <si>
    <t>FIGURE FOUNDATION</t>
  </si>
  <si>
    <t>30-6057248</t>
  </si>
  <si>
    <t>PO Box 91</t>
  </si>
  <si>
    <t>Gays Mills</t>
  </si>
  <si>
    <t>1883 FUND</t>
  </si>
  <si>
    <t>27-2998843</t>
  </si>
  <si>
    <t>CORNELL BREWER FOUNDATION</t>
  </si>
  <si>
    <t>26-3205517</t>
  </si>
  <si>
    <t>1300 E Woodfield Road</t>
  </si>
  <si>
    <t>JEROME NERENBERG 2000 CHARITABLE TR</t>
  </si>
  <si>
    <t>26-6307600</t>
  </si>
  <si>
    <t>SIA FOUNDATION INC</t>
  </si>
  <si>
    <t>35-2033162</t>
  </si>
  <si>
    <t>Po Box 6470</t>
  </si>
  <si>
    <t>Ripley County Community Foundation, Inc.</t>
  </si>
  <si>
    <t>35-2048001</t>
  </si>
  <si>
    <t>4 South Park Avenue</t>
  </si>
  <si>
    <t>Pulaski County Community Foundation, Inc.</t>
  </si>
  <si>
    <t>35-2127564</t>
  </si>
  <si>
    <t>P.O. Box 407</t>
  </si>
  <si>
    <t>Winamac</t>
  </si>
  <si>
    <t>ILLINOIS CHILDRENS HEALTHCARE FOUNDATION</t>
  </si>
  <si>
    <t>03-0503425</t>
  </si>
  <si>
    <t>15 Spinning Wheel Rd</t>
  </si>
  <si>
    <t>Ste 228</t>
  </si>
  <si>
    <t>DAVID L ROWE FOUNDATION TR</t>
  </si>
  <si>
    <t>65-6304279</t>
  </si>
  <si>
    <t>EMERSON ELEC CHARITABLE TRUST</t>
  </si>
  <si>
    <t>52-6200123</t>
  </si>
  <si>
    <t>BERNARD HEEREY FAMILY FOUNDATION</t>
  </si>
  <si>
    <t>14-1840613</t>
  </si>
  <si>
    <t>1 N Lasalle St Ste 1100</t>
  </si>
  <si>
    <t>MADIGAN FAMILY FOUNDATION</t>
  </si>
  <si>
    <t>36-4155300</t>
  </si>
  <si>
    <t>190 S Lasalle Ste 1700</t>
  </si>
  <si>
    <t>ANNIE W &amp; ELIZABETH M ANDERSON FOUNDATION</t>
  </si>
  <si>
    <t>31-1608632</t>
  </si>
  <si>
    <t>OSTEOPATHIC HERITAGE FOUNDATION</t>
  </si>
  <si>
    <t>31-6056252</t>
  </si>
  <si>
    <t>ROBERT AND JAMIE TAYLOR FOUNDATION</t>
  </si>
  <si>
    <t>20-3971327</t>
  </si>
  <si>
    <t>312 Woodley Rd</t>
  </si>
  <si>
    <t>GLEN AND WENDY MILLER FAMILYFOUNDATION</t>
  </si>
  <si>
    <t>20-8365083</t>
  </si>
  <si>
    <t>2500 Telegraph Rd</t>
  </si>
  <si>
    <t>THE HAMER D AND PHYLLIS C SHAFER FOUNDATION CHARITABLE TRUST</t>
  </si>
  <si>
    <t>35-1997098</t>
  </si>
  <si>
    <t>Po Box 548</t>
  </si>
  <si>
    <t>B A AND ESTHER GREENHECK FOUNDATION</t>
  </si>
  <si>
    <t>39-1937735</t>
  </si>
  <si>
    <t>500 N 1st St Ste 2200</t>
  </si>
  <si>
    <t>REPUBLIC BANK FOUNDATION INC</t>
  </si>
  <si>
    <t>27-2222303</t>
  </si>
  <si>
    <t>601 W Market St</t>
  </si>
  <si>
    <t>MILTON A AND ROSLYN Z WOLF FAM FOUNDATION</t>
  </si>
  <si>
    <t>03-0485546</t>
  </si>
  <si>
    <t>25700 Science Park Drive Suite No</t>
  </si>
  <si>
    <t>MICHAEL AND KARYN LUTZ FAMILY FOUNDATION</t>
  </si>
  <si>
    <t>27-0935543</t>
  </si>
  <si>
    <t>C/O Weltman 485 E Half Day Road</t>
  </si>
  <si>
    <t>DUANE &amp; KATHLEEN FOULKES FOUNDATIONINC</t>
  </si>
  <si>
    <t>20-5592397</t>
  </si>
  <si>
    <t>Po Box 337</t>
  </si>
  <si>
    <t>Beaver Dam</t>
  </si>
  <si>
    <t>KOBLER MEMORIAL FUND UA</t>
  </si>
  <si>
    <t>22-6438704</t>
  </si>
  <si>
    <t>DELPHI FOUNDATION INC</t>
  </si>
  <si>
    <t>38-3442971</t>
  </si>
  <si>
    <t>Po Box 5086</t>
  </si>
  <si>
    <t>SEEDS OF FAITH INC</t>
  </si>
  <si>
    <t>39-1938697</t>
  </si>
  <si>
    <t>Po Box 197</t>
  </si>
  <si>
    <t>MEYER CHARITABLE FOUNDATION</t>
  </si>
  <si>
    <t>36-4152268</t>
  </si>
  <si>
    <t>100 W University Ste 401</t>
  </si>
  <si>
    <t>WABASH VALLEY COMMUNITY FOUNDATION INC</t>
  </si>
  <si>
    <t>35-1848649</t>
  </si>
  <si>
    <t>2901 Ohio Blvd, Ste 153</t>
  </si>
  <si>
    <t>FATHERS TABLE FOUNDATION</t>
  </si>
  <si>
    <t>30-0003919</t>
  </si>
  <si>
    <t>2500 Key Center 127 Public Square</t>
  </si>
  <si>
    <t>Renaissance Charitable Foundation Inc.</t>
  </si>
  <si>
    <t>35-2129262</t>
  </si>
  <si>
    <t>6100 W 96th Street</t>
  </si>
  <si>
    <t>Suite 105</t>
  </si>
  <si>
    <t>W AUGUST HILLENBRAND FAMILY FOUNDATION</t>
  </si>
  <si>
    <t>35-6644740</t>
  </si>
  <si>
    <t>300 Winding Way</t>
  </si>
  <si>
    <t>RICHARDS FAMILY FOUNDATION</t>
  </si>
  <si>
    <t>20-0505655</t>
  </si>
  <si>
    <t>8542 Chase Dr</t>
  </si>
  <si>
    <t>RODERICK AND SOLANGE MACARTHUR JUSTICE CENTER</t>
  </si>
  <si>
    <t>36-4445595</t>
  </si>
  <si>
    <t>9333 N Milwaukee Ave</t>
  </si>
  <si>
    <t>AON MEMORIAL EDUCATION FUND</t>
  </si>
  <si>
    <t>36-4468038</t>
  </si>
  <si>
    <t>200 E Randolph St Fl 4</t>
  </si>
  <si>
    <t>CARLS FOUNDATION</t>
  </si>
  <si>
    <t>38-6099935</t>
  </si>
  <si>
    <t>6001 N Adams Rd Ste 215</t>
  </si>
  <si>
    <t>CHILANT AND MANSFIELD SPRAGUE HERBERT FRENZELL FOUNDATION</t>
  </si>
  <si>
    <t>80-6098935</t>
  </si>
  <si>
    <t>THE MCNAMARA PURCELL FOUNDATION</t>
  </si>
  <si>
    <t>36-7293187</t>
  </si>
  <si>
    <t>27w332 Churchill Rd</t>
  </si>
  <si>
    <t>Winfield</t>
  </si>
  <si>
    <t>WANEK-VOGEL FOUNDATION LTD</t>
  </si>
  <si>
    <t>39-1948289</t>
  </si>
  <si>
    <t>CASEY FAMILY FOUNDATION INC</t>
  </si>
  <si>
    <t>20-3817511</t>
  </si>
  <si>
    <t>S&amp;C FOUNDATION</t>
  </si>
  <si>
    <t>36-4262817</t>
  </si>
  <si>
    <t xml:space="preserve">COMMUNITY FOUNDATION OF WABASH COUNTY INC                             </t>
  </si>
  <si>
    <t>35-6019016</t>
  </si>
  <si>
    <t>P. O. Box 7</t>
  </si>
  <si>
    <t>North Manchester</t>
  </si>
  <si>
    <t>PRITZKER EARLY CHILDHOOD FOUNDATION</t>
  </si>
  <si>
    <t>41-2051114</t>
  </si>
  <si>
    <t>71 S Wacker Dr Ste 4600</t>
  </si>
  <si>
    <t>THE FEDELI FAMILY CHARITABLE FOUNDATION</t>
  </si>
  <si>
    <t>31-1740537</t>
  </si>
  <si>
    <t>Po Box 318003</t>
  </si>
  <si>
    <t>REDMOND FAMAILY FOUNDATION</t>
  </si>
  <si>
    <t>20-1940725</t>
  </si>
  <si>
    <t>W228n745 Westmound Dr</t>
  </si>
  <si>
    <t>Oak Park-River Forest Community Foundation</t>
  </si>
  <si>
    <t>36-4150724</t>
  </si>
  <si>
    <t>1049 Lake St</t>
  </si>
  <si>
    <t>Ste 204</t>
  </si>
  <si>
    <t>HAEGER FOUNDATION</t>
  </si>
  <si>
    <t>46-1423801</t>
  </si>
  <si>
    <t>Po Box 528</t>
  </si>
  <si>
    <t>East Troy</t>
  </si>
  <si>
    <t>GRAND VICTORIA FOUNDATION</t>
  </si>
  <si>
    <t>36-4107162</t>
  </si>
  <si>
    <t>230 W Monroe St Ste 2532</t>
  </si>
  <si>
    <t>MATHILE PHILANTHROPIC TRUST</t>
  </si>
  <si>
    <t>45-3477764</t>
  </si>
  <si>
    <t>6450 Sand Lake Rd Ste 200</t>
  </si>
  <si>
    <t>CADILLAC AREA COMMUNITY FOUNDATION</t>
  </si>
  <si>
    <t>38-2848513</t>
  </si>
  <si>
    <t>201 N Mitchell</t>
  </si>
  <si>
    <t>Cadillac</t>
  </si>
  <si>
    <t>JOCHUM CHARITABLE FOUNDATION INC</t>
  </si>
  <si>
    <t>34-1951170</t>
  </si>
  <si>
    <t>6055 Rockside Woods Blvd 200</t>
  </si>
  <si>
    <t>Bierlein Companies Foundation</t>
  </si>
  <si>
    <t>38-2615341</t>
  </si>
  <si>
    <t>2000 Bay City Rd</t>
  </si>
  <si>
    <t>COMMUNITY FOUNDATION OF THE QUINCY AREA dba Community Foundation Serving West Central Illinois &amp; Northeast Missouri</t>
  </si>
  <si>
    <t>37-1366611</t>
  </si>
  <si>
    <t>4531 Maine Street</t>
  </si>
  <si>
    <t>Suite A</t>
  </si>
  <si>
    <t>PERT FOUNDATION</t>
  </si>
  <si>
    <t>81-0585993</t>
  </si>
  <si>
    <t>BRADY CORPORATION FOUNDATION INC</t>
  </si>
  <si>
    <t>20-3304824</t>
  </si>
  <si>
    <t>6555 W Good Hope Rd</t>
  </si>
  <si>
    <t>FOUNDATIONS OF EAST CHICAGO INC</t>
  </si>
  <si>
    <t>20-8445003</t>
  </si>
  <si>
    <t>100 W Chicago Ave</t>
  </si>
  <si>
    <t>East Chicago</t>
  </si>
  <si>
    <t>Heritage Fund of Bartholomew County, Inc.</t>
  </si>
  <si>
    <t>35-1343903</t>
  </si>
  <si>
    <t>538 Franklin St</t>
  </si>
  <si>
    <t>Community Foundation of Morgan County, Inc.</t>
  </si>
  <si>
    <t>35-1956929</t>
  </si>
  <si>
    <t>56 N Main St</t>
  </si>
  <si>
    <t>Martinsville</t>
  </si>
  <si>
    <t>Ohio County Community Foundation, Inc.</t>
  </si>
  <si>
    <t>35-2038531</t>
  </si>
  <si>
    <t>591 Smart Dr.</t>
  </si>
  <si>
    <t>Rising Sun</t>
  </si>
  <si>
    <t>BECCA GRACE FOUNDATION INC</t>
  </si>
  <si>
    <t>04-3730786</t>
  </si>
  <si>
    <t>607 N 8th Street 7th Floor</t>
  </si>
  <si>
    <t>Muskegon County Community Foundation</t>
  </si>
  <si>
    <t>38-6114135</t>
  </si>
  <si>
    <t>425 West Western Ave</t>
  </si>
  <si>
    <t>Muskegon</t>
  </si>
  <si>
    <t>COMMUNITY FOUNDATION OF RANDOLPH COUNTY INC</t>
  </si>
  <si>
    <t>35-1903148</t>
  </si>
  <si>
    <t>213 South Main St</t>
  </si>
  <si>
    <t>Winchester</t>
  </si>
  <si>
    <t>VIOLET M JOHNSON FAMILY FOUNDATION</t>
  </si>
  <si>
    <t>20-0128534</t>
  </si>
  <si>
    <t>ANDREW F &amp; EDITH M BELL CH TR</t>
  </si>
  <si>
    <t>39-6788987</t>
  </si>
  <si>
    <t>BOSTOCK FAMILY FOUNDATION</t>
  </si>
  <si>
    <t>52-2300953</t>
  </si>
  <si>
    <t>MICHAEL E HORN FAMILY FOUNDATION INC</t>
  </si>
  <si>
    <t>26-1375584</t>
  </si>
  <si>
    <t>Po Box 1944</t>
  </si>
  <si>
    <t>DUDLEY TAFT CHARITABLE FDN</t>
  </si>
  <si>
    <t>31-1532283</t>
  </si>
  <si>
    <t>HERITAGE FOUNDATION OF FIRST SECURITY FEDERAL SAV BANK INC</t>
  </si>
  <si>
    <t>36-4135415</t>
  </si>
  <si>
    <t>2329 W Chicago Ave</t>
  </si>
  <si>
    <t>HAMPSON FAMILY FOUNDATION</t>
  </si>
  <si>
    <t>34-1949208</t>
  </si>
  <si>
    <t>40835 Webster Rd</t>
  </si>
  <si>
    <t>WALTER HAVIGHURST COMPLEX TR FBO MIAMI UNIV 322640 050694</t>
  </si>
  <si>
    <t>31-6492984</t>
  </si>
  <si>
    <t>300 High St Wrg</t>
  </si>
  <si>
    <t>GRACE ELIZABETH GRONER SCHOLARSHIP FOUNDATION</t>
  </si>
  <si>
    <t>26-6687616</t>
  </si>
  <si>
    <t>585 Bank Lane</t>
  </si>
  <si>
    <t>PURCELL CHARITABLE FOUNDATION</t>
  </si>
  <si>
    <t>36-4221916</t>
  </si>
  <si>
    <t>825 S Washington St</t>
  </si>
  <si>
    <t>HARRISON FOUNDATION</t>
  </si>
  <si>
    <t>36-4713023</t>
  </si>
  <si>
    <t>Po Box 752063</t>
  </si>
  <si>
    <t>MUSELMAN FAMILY FOUNDATION INC</t>
  </si>
  <si>
    <t>35-2078623</t>
  </si>
  <si>
    <t>269 S Jefferson St</t>
  </si>
  <si>
    <t>Berne</t>
  </si>
  <si>
    <t>TREFFERT FAMILY FOUNDATION INC</t>
  </si>
  <si>
    <t>20-3995376</t>
  </si>
  <si>
    <t>3415 Gateway Road</t>
  </si>
  <si>
    <t>ROBERT HASSLER CHARITABLE TR</t>
  </si>
  <si>
    <t>32-0011956</t>
  </si>
  <si>
    <t>DONNINI-RUDOLPH FAMILY FOUNDATION</t>
  </si>
  <si>
    <t>45-5179760</t>
  </si>
  <si>
    <t>1402 Waterford Pl</t>
  </si>
  <si>
    <t>CHARLES SCOTT RILEY III FOUNDATION</t>
  </si>
  <si>
    <t>46-1505671</t>
  </si>
  <si>
    <t>600 Vine St Ste 2650</t>
  </si>
  <si>
    <t>WORD INVESTMENTS INC</t>
  </si>
  <si>
    <t>38-2470907</t>
  </si>
  <si>
    <t>4079 Park East Ct Se Ste 2</t>
  </si>
  <si>
    <t>THOMAS J AND CAROL J JOSEPH FOUNDATION INC</t>
  </si>
  <si>
    <t>61-1580005</t>
  </si>
  <si>
    <t>4490 Harbor Village Dr</t>
  </si>
  <si>
    <t>Omro</t>
  </si>
  <si>
    <t>VENTAS CHARITABLE FOUNDATION INC</t>
  </si>
  <si>
    <t>20-3959500</t>
  </si>
  <si>
    <t>10350 Ormsby Park Pl Ste 300</t>
  </si>
  <si>
    <t>BURDETTE &amp; KATHRYN KNAPPENBERGER CHARITABLE TR UW 08191999</t>
  </si>
  <si>
    <t>20-6060700</t>
  </si>
  <si>
    <t>Po Box 2020</t>
  </si>
  <si>
    <t>MEIER FAMILY FOUNDATION</t>
  </si>
  <si>
    <t>20-8762273</t>
  </si>
  <si>
    <t>MANSUETO FOUNDATION</t>
  </si>
  <si>
    <t>27-1895175</t>
  </si>
  <si>
    <t>231 S Lasalle St Ste 1332</t>
  </si>
  <si>
    <t>TAYLOR-MCHENRY MEMORIAL FUND</t>
  </si>
  <si>
    <t>31-6063772</t>
  </si>
  <si>
    <t>MARSHALL L &amp; DEBORAH L BERKMAN FAM CHARITABLE TR</t>
  </si>
  <si>
    <t>34-1845200</t>
  </si>
  <si>
    <t>925 Euclid Ave Ste 2000</t>
  </si>
  <si>
    <t>SPRINGVIEW FOUNDATION</t>
  </si>
  <si>
    <t>38-3422204</t>
  </si>
  <si>
    <t>85 E 8ths T</t>
  </si>
  <si>
    <t>Curtis M. Wylie Trust fbo Grand Rapids Foundation</t>
  </si>
  <si>
    <t>38-6051883</t>
  </si>
  <si>
    <t>One Vandenberg Center</t>
  </si>
  <si>
    <t>THE KENTUCKY FUND FOR HEALTHY LIVING INC</t>
  </si>
  <si>
    <t>30-0162664</t>
  </si>
  <si>
    <t>811 Corporate Dr Ste 103</t>
  </si>
  <si>
    <t>GuideStar is the registered trademark and operating name of GuideStar USA, Inc., a 501(c)(3) nonprofit organization. Copyright © 2013, GuideStar USA, Inc. All Rights Reserved.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</si>
</sst>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$&quot;#,##0_);[Red]\(&quot;$&quot;#,##0\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">
    <xf numFmtId="0" fontId="0" fillId="0" borderId="0" xfId="0"/>
    <xf numFmtId="14" fontId="0" fillId="0" borderId="0" xfId="0" applyNumberFormat="1"/>
    <xf numFmtId="6" fontId="0" fillId="0" borderId="0" xfId="0" applyNumberFormat="1"/>
    <xf numFmtId="0" fontId="0" fillId="0" borderId="0" xfId="0" applyNumberFormat="1"/>
    <xf numFmtId="0" fontId="0" fillId="0" borderId="0" xfId="0" applyNumberFormat="1" applyAlignment="1">
      <alignment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02"/>
  <sheetViews>
    <sheetView tabSelected="1" zoomScale="70" zoomScaleNormal="70" workbookViewId="0">
      <selection activeCell="C14" sqref="C14"/>
    </sheetView>
  </sheetViews>
  <sheetFormatPr defaultColWidth="66.28515625" defaultRowHeight="15" x14ac:dyDescent="0.25"/>
  <cols>
    <col min="1" max="1" width="82" customWidth="1"/>
    <col min="2" max="2" width="13.42578125" bestFit="1" customWidth="1"/>
    <col min="3" max="3" width="14.85546875" bestFit="1" customWidth="1"/>
    <col min="4" max="4" width="14" bestFit="1" customWidth="1"/>
    <col min="5" max="5" width="37.7109375" bestFit="1" customWidth="1"/>
    <col min="6" max="6" width="31.28515625" bestFit="1" customWidth="1"/>
    <col min="7" max="7" width="17.28515625" bestFit="1" customWidth="1"/>
    <col min="8" max="8" width="5.5703125" bestFit="1" customWidth="1"/>
    <col min="9" max="9" width="7.42578125" bestFit="1" customWidth="1"/>
    <col min="10" max="10" width="64" customWidth="1"/>
    <col min="11" max="11" width="75.85546875" bestFit="1" customWidth="1"/>
    <col min="12" max="12" width="17.140625" bestFit="1" customWidth="1"/>
    <col min="13" max="13" width="17.42578125" bestFit="1" customWidth="1"/>
    <col min="14" max="14" width="15.42578125" bestFit="1" customWidth="1"/>
    <col min="15" max="15" width="15.7109375" bestFit="1" customWidth="1"/>
    <col min="16" max="16" width="29.7109375" bestFit="1" customWidth="1"/>
    <col min="17" max="17" width="22.42578125" bestFit="1" customWidth="1"/>
  </cols>
  <sheetData>
    <row r="1" spans="1:17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</row>
    <row r="2" spans="1:17" x14ac:dyDescent="0.25">
      <c r="A2" t="s">
        <v>3476</v>
      </c>
      <c r="B2" t="s">
        <v>3477</v>
      </c>
      <c r="C2" s="1">
        <v>41275</v>
      </c>
      <c r="D2" s="1">
        <v>41639</v>
      </c>
      <c r="E2" t="s">
        <v>3478</v>
      </c>
      <c r="G2" t="s">
        <v>28</v>
      </c>
      <c r="H2" t="s">
        <v>29</v>
      </c>
      <c r="I2" t="str">
        <f>"60603"</f>
        <v>60603</v>
      </c>
      <c r="J2" t="s">
        <v>22</v>
      </c>
      <c r="K2" t="s">
        <v>23</v>
      </c>
      <c r="L2" s="2">
        <v>6323307217</v>
      </c>
      <c r="M2" s="2">
        <v>5528727400</v>
      </c>
      <c r="N2" s="2">
        <v>347952532</v>
      </c>
      <c r="O2" s="2">
        <v>286012311</v>
      </c>
      <c r="P2" t="s">
        <v>24</v>
      </c>
      <c r="Q2" t="s">
        <v>24</v>
      </c>
    </row>
    <row r="3" spans="1:17" x14ac:dyDescent="0.25">
      <c r="A3" t="s">
        <v>1700</v>
      </c>
      <c r="B3" t="s">
        <v>1701</v>
      </c>
      <c r="C3" s="1">
        <v>41275</v>
      </c>
      <c r="D3" s="1">
        <v>41639</v>
      </c>
      <c r="E3" t="s">
        <v>1702</v>
      </c>
      <c r="G3" t="s">
        <v>1339</v>
      </c>
      <c r="H3" t="s">
        <v>47</v>
      </c>
      <c r="I3" t="str">
        <f>"48084"</f>
        <v>48084</v>
      </c>
      <c r="J3" t="s">
        <v>22</v>
      </c>
      <c r="K3" t="s">
        <v>30</v>
      </c>
      <c r="L3" s="2">
        <v>3543405167</v>
      </c>
      <c r="M3" s="2">
        <v>10693269</v>
      </c>
      <c r="N3" s="2">
        <v>103003754</v>
      </c>
      <c r="O3" s="2">
        <v>170639271</v>
      </c>
      <c r="P3" t="s">
        <v>24</v>
      </c>
      <c r="Q3" t="s">
        <v>24</v>
      </c>
    </row>
    <row r="4" spans="1:17" x14ac:dyDescent="0.25">
      <c r="A4" t="s">
        <v>3014</v>
      </c>
      <c r="B4" t="s">
        <v>3015</v>
      </c>
      <c r="C4" s="1">
        <v>41183</v>
      </c>
      <c r="D4" s="1">
        <v>41547</v>
      </c>
      <c r="E4" t="s">
        <v>3016</v>
      </c>
      <c r="G4" t="s">
        <v>28</v>
      </c>
      <c r="H4" t="s">
        <v>29</v>
      </c>
      <c r="I4" t="str">
        <f>"60601"</f>
        <v>60601</v>
      </c>
      <c r="J4" t="s">
        <v>63</v>
      </c>
      <c r="K4" t="s">
        <v>64</v>
      </c>
      <c r="L4" s="2">
        <v>1958655846</v>
      </c>
      <c r="M4" s="2">
        <v>299248702</v>
      </c>
      <c r="N4" s="2">
        <v>33479200</v>
      </c>
      <c r="O4" s="2">
        <v>174173335</v>
      </c>
      <c r="P4" s="2">
        <v>8038596</v>
      </c>
      <c r="Q4" s="2">
        <v>2504115</v>
      </c>
    </row>
    <row r="5" spans="1:17" x14ac:dyDescent="0.25">
      <c r="A5" t="s">
        <v>6863</v>
      </c>
      <c r="B5" t="s">
        <v>6864</v>
      </c>
      <c r="C5" s="1">
        <v>41275</v>
      </c>
      <c r="D5" s="1">
        <v>41639</v>
      </c>
      <c r="E5" t="s">
        <v>6865</v>
      </c>
      <c r="G5" t="s">
        <v>337</v>
      </c>
      <c r="H5" t="s">
        <v>62</v>
      </c>
      <c r="I5" t="str">
        <f>"44115"</f>
        <v>44115</v>
      </c>
      <c r="J5" t="s">
        <v>63</v>
      </c>
      <c r="K5" t="s">
        <v>64</v>
      </c>
      <c r="L5" s="2">
        <v>1813423102</v>
      </c>
      <c r="M5" s="2">
        <v>90734443</v>
      </c>
      <c r="N5" s="2">
        <v>94524805</v>
      </c>
      <c r="O5" s="2">
        <v>98827499</v>
      </c>
      <c r="P5" s="2">
        <v>8453571</v>
      </c>
      <c r="Q5" s="2">
        <v>4150356</v>
      </c>
    </row>
    <row r="6" spans="1:17" x14ac:dyDescent="0.25">
      <c r="A6" t="s">
        <v>7047</v>
      </c>
      <c r="B6" t="s">
        <v>7048</v>
      </c>
      <c r="C6" s="1">
        <v>41275</v>
      </c>
      <c r="D6" s="1">
        <v>41639</v>
      </c>
      <c r="E6" t="s">
        <v>7049</v>
      </c>
      <c r="G6" t="s">
        <v>20</v>
      </c>
      <c r="H6" t="s">
        <v>21</v>
      </c>
      <c r="I6" t="str">
        <f>"46204"</f>
        <v>46204</v>
      </c>
      <c r="J6" t="s">
        <v>22</v>
      </c>
      <c r="K6" t="s">
        <v>23</v>
      </c>
      <c r="L6" s="2">
        <v>1258939683</v>
      </c>
      <c r="M6" s="2">
        <v>87405058</v>
      </c>
      <c r="N6" s="2">
        <v>26559126</v>
      </c>
      <c r="O6" s="2">
        <v>93918067</v>
      </c>
      <c r="P6" t="s">
        <v>24</v>
      </c>
      <c r="Q6" t="s">
        <v>24</v>
      </c>
    </row>
    <row r="7" spans="1:17" x14ac:dyDescent="0.25">
      <c r="A7" t="s">
        <v>5041</v>
      </c>
      <c r="B7" t="s">
        <v>5042</v>
      </c>
      <c r="C7" s="1">
        <v>41244</v>
      </c>
      <c r="D7" s="1">
        <v>41608</v>
      </c>
      <c r="E7" t="s">
        <v>5043</v>
      </c>
      <c r="G7" t="s">
        <v>139</v>
      </c>
      <c r="H7" t="s">
        <v>47</v>
      </c>
      <c r="I7" t="str">
        <f>"49503"</f>
        <v>49503</v>
      </c>
      <c r="J7" t="s">
        <v>63</v>
      </c>
      <c r="K7" t="s">
        <v>30</v>
      </c>
      <c r="L7" s="2">
        <v>1239128618</v>
      </c>
      <c r="M7" s="2">
        <v>96164989</v>
      </c>
      <c r="N7" s="2">
        <v>986731</v>
      </c>
      <c r="O7" s="2">
        <v>57084804</v>
      </c>
      <c r="P7" s="2">
        <v>6310675</v>
      </c>
      <c r="Q7" s="2">
        <v>3258187</v>
      </c>
    </row>
    <row r="8" spans="1:17" x14ac:dyDescent="0.25">
      <c r="A8" t="s">
        <v>4655</v>
      </c>
      <c r="B8" t="s">
        <v>4656</v>
      </c>
      <c r="C8" s="1">
        <v>41275</v>
      </c>
      <c r="D8" s="1">
        <v>41639</v>
      </c>
      <c r="E8" t="s">
        <v>352</v>
      </c>
      <c r="G8" t="s">
        <v>353</v>
      </c>
      <c r="H8" t="s">
        <v>62</v>
      </c>
      <c r="I8" t="str">
        <f>"43205"</f>
        <v>43205</v>
      </c>
      <c r="J8" t="s">
        <v>63</v>
      </c>
      <c r="K8" t="s">
        <v>64</v>
      </c>
      <c r="L8" s="2">
        <v>1196917907</v>
      </c>
      <c r="M8" s="2">
        <v>150791436</v>
      </c>
      <c r="N8" s="2">
        <v>7836082</v>
      </c>
      <c r="O8" s="2">
        <v>133077314</v>
      </c>
      <c r="P8" s="2">
        <v>2701298</v>
      </c>
      <c r="Q8" s="2">
        <v>1963295</v>
      </c>
    </row>
    <row r="9" spans="1:17" x14ac:dyDescent="0.25">
      <c r="A9" t="s">
        <v>3404</v>
      </c>
      <c r="B9" t="s">
        <v>3405</v>
      </c>
      <c r="C9" s="1">
        <v>41275</v>
      </c>
      <c r="D9" s="1">
        <v>41639</v>
      </c>
      <c r="E9" t="s">
        <v>3406</v>
      </c>
      <c r="F9" t="s">
        <v>3407</v>
      </c>
      <c r="G9" t="s">
        <v>28</v>
      </c>
      <c r="H9" t="s">
        <v>29</v>
      </c>
      <c r="I9" t="str">
        <f>"60654"</f>
        <v>60654</v>
      </c>
      <c r="J9" t="s">
        <v>22</v>
      </c>
      <c r="K9" t="s">
        <v>91</v>
      </c>
      <c r="L9" s="2">
        <v>936451953</v>
      </c>
      <c r="M9" s="2">
        <v>145188245</v>
      </c>
      <c r="N9" s="2">
        <v>16307485</v>
      </c>
      <c r="O9" s="2">
        <v>46813883</v>
      </c>
      <c r="P9" t="s">
        <v>24</v>
      </c>
      <c r="Q9" t="s">
        <v>24</v>
      </c>
    </row>
    <row r="10" spans="1:17" x14ac:dyDescent="0.25">
      <c r="A10" t="s">
        <v>1921</v>
      </c>
      <c r="B10" t="s">
        <v>1922</v>
      </c>
      <c r="C10" s="1">
        <v>41275</v>
      </c>
      <c r="D10" s="1">
        <v>41639</v>
      </c>
      <c r="E10" t="s">
        <v>1923</v>
      </c>
      <c r="G10" t="s">
        <v>41</v>
      </c>
      <c r="H10" t="s">
        <v>42</v>
      </c>
      <c r="I10" t="str">
        <f>"53202"</f>
        <v>53202</v>
      </c>
      <c r="J10" t="s">
        <v>22</v>
      </c>
      <c r="K10" t="s">
        <v>30</v>
      </c>
      <c r="L10" s="2">
        <v>922303709</v>
      </c>
      <c r="M10" s="2">
        <v>616579649</v>
      </c>
      <c r="N10" s="2">
        <v>15095707</v>
      </c>
      <c r="O10" s="2">
        <v>48002572</v>
      </c>
      <c r="P10" t="s">
        <v>24</v>
      </c>
      <c r="Q10" t="s">
        <v>24</v>
      </c>
    </row>
    <row r="11" spans="1:17" x14ac:dyDescent="0.25">
      <c r="A11" t="s">
        <v>110</v>
      </c>
      <c r="B11" t="s">
        <v>111</v>
      </c>
      <c r="C11" s="1">
        <v>40909</v>
      </c>
      <c r="D11" s="1">
        <v>41274</v>
      </c>
      <c r="E11" t="s">
        <v>112</v>
      </c>
      <c r="G11" t="s">
        <v>113</v>
      </c>
      <c r="H11" t="s">
        <v>42</v>
      </c>
      <c r="I11" t="str">
        <f>"53189"</f>
        <v>53189</v>
      </c>
      <c r="J11" t="s">
        <v>22</v>
      </c>
      <c r="K11" t="s">
        <v>23</v>
      </c>
      <c r="L11" s="2">
        <v>700387967</v>
      </c>
      <c r="M11" s="2">
        <v>190168487</v>
      </c>
      <c r="N11" s="2">
        <v>0</v>
      </c>
      <c r="O11" s="2">
        <v>36843756</v>
      </c>
      <c r="P11" t="s">
        <v>24</v>
      </c>
      <c r="Q11" t="s">
        <v>24</v>
      </c>
    </row>
    <row r="12" spans="1:17" x14ac:dyDescent="0.25">
      <c r="A12" t="s">
        <v>1526</v>
      </c>
      <c r="B12" t="s">
        <v>1527</v>
      </c>
      <c r="C12" s="1">
        <v>41365</v>
      </c>
      <c r="D12" s="1">
        <v>41729</v>
      </c>
      <c r="E12" t="s">
        <v>1528</v>
      </c>
      <c r="F12" t="s">
        <v>1529</v>
      </c>
      <c r="G12" t="s">
        <v>28</v>
      </c>
      <c r="H12" t="s">
        <v>29</v>
      </c>
      <c r="I12" t="str">
        <f>"60614"</f>
        <v>60614</v>
      </c>
      <c r="J12" t="s">
        <v>63</v>
      </c>
      <c r="K12" t="s">
        <v>64</v>
      </c>
      <c r="L12" s="2">
        <v>668277142</v>
      </c>
      <c r="M12" s="2">
        <v>74599147</v>
      </c>
      <c r="N12" s="2">
        <v>63263188</v>
      </c>
      <c r="O12" s="2">
        <v>24658033</v>
      </c>
      <c r="P12" s="2">
        <v>3213097</v>
      </c>
      <c r="Q12" s="2">
        <v>744016</v>
      </c>
    </row>
    <row r="13" spans="1:17" x14ac:dyDescent="0.25">
      <c r="A13" t="s">
        <v>7605</v>
      </c>
      <c r="B13" t="s">
        <v>7606</v>
      </c>
      <c r="C13" s="1">
        <v>41275</v>
      </c>
      <c r="D13" s="1">
        <v>41639</v>
      </c>
      <c r="E13" t="s">
        <v>7607</v>
      </c>
      <c r="F13" t="s">
        <v>7608</v>
      </c>
      <c r="G13" t="s">
        <v>20</v>
      </c>
      <c r="H13" t="s">
        <v>21</v>
      </c>
      <c r="I13" t="str">
        <f>"46278"</f>
        <v>46278</v>
      </c>
      <c r="J13" t="s">
        <v>63</v>
      </c>
      <c r="K13" t="s">
        <v>79</v>
      </c>
      <c r="L13" s="2">
        <v>642590712</v>
      </c>
      <c r="M13" s="2">
        <v>164568861</v>
      </c>
      <c r="N13" s="2">
        <v>4730568</v>
      </c>
      <c r="O13" s="2">
        <v>72794310</v>
      </c>
      <c r="P13" s="2">
        <v>3142879</v>
      </c>
      <c r="Q13" s="2">
        <v>598451</v>
      </c>
    </row>
    <row r="14" spans="1:17" x14ac:dyDescent="0.25">
      <c r="A14" t="s">
        <v>6129</v>
      </c>
      <c r="B14" t="s">
        <v>6130</v>
      </c>
      <c r="C14" s="1">
        <v>41275</v>
      </c>
      <c r="D14" s="1">
        <v>41639</v>
      </c>
      <c r="E14" t="s">
        <v>6131</v>
      </c>
      <c r="F14" t="s">
        <v>6132</v>
      </c>
      <c r="G14" t="s">
        <v>143</v>
      </c>
      <c r="H14" t="s">
        <v>47</v>
      </c>
      <c r="I14" t="str">
        <f>"48226"</f>
        <v>48226</v>
      </c>
      <c r="J14" t="s">
        <v>63</v>
      </c>
      <c r="K14" t="s">
        <v>64</v>
      </c>
      <c r="L14" s="2">
        <v>615643125</v>
      </c>
      <c r="M14" s="2">
        <v>98007623</v>
      </c>
      <c r="N14" s="2">
        <v>14630603</v>
      </c>
      <c r="O14" s="2">
        <v>55198118</v>
      </c>
      <c r="P14" s="2">
        <v>4002863</v>
      </c>
      <c r="Q14" s="2">
        <v>1226067</v>
      </c>
    </row>
    <row r="15" spans="1:17" x14ac:dyDescent="0.25">
      <c r="A15" t="s">
        <v>4267</v>
      </c>
      <c r="B15" t="s">
        <v>4268</v>
      </c>
      <c r="C15" s="1">
        <v>41275</v>
      </c>
      <c r="D15" s="1">
        <v>41639</v>
      </c>
      <c r="E15" t="s">
        <v>4269</v>
      </c>
      <c r="G15" t="s">
        <v>337</v>
      </c>
      <c r="H15" t="s">
        <v>62</v>
      </c>
      <c r="I15" t="str">
        <f>"44114"</f>
        <v>44114</v>
      </c>
      <c r="J15" t="s">
        <v>22</v>
      </c>
      <c r="K15" t="s">
        <v>23</v>
      </c>
      <c r="L15" s="2">
        <v>597780647</v>
      </c>
      <c r="M15" s="2">
        <v>121383481</v>
      </c>
      <c r="N15" s="2">
        <v>116275</v>
      </c>
      <c r="O15" s="2">
        <v>27087381</v>
      </c>
      <c r="P15" t="s">
        <v>24</v>
      </c>
      <c r="Q15" t="s">
        <v>24</v>
      </c>
    </row>
    <row r="16" spans="1:17" x14ac:dyDescent="0.25">
      <c r="A16" t="s">
        <v>1204</v>
      </c>
      <c r="B16" t="s">
        <v>1205</v>
      </c>
      <c r="C16" s="1">
        <v>41091</v>
      </c>
      <c r="D16" s="1">
        <v>41516</v>
      </c>
      <c r="E16" t="s">
        <v>1206</v>
      </c>
      <c r="G16" t="s">
        <v>28</v>
      </c>
      <c r="H16" t="s">
        <v>29</v>
      </c>
      <c r="I16" t="str">
        <f>"60611"</f>
        <v>60611</v>
      </c>
      <c r="J16" t="s">
        <v>752</v>
      </c>
      <c r="K16" t="s">
        <v>753</v>
      </c>
      <c r="L16" s="2">
        <v>563557494</v>
      </c>
      <c r="M16" s="2">
        <v>72511035</v>
      </c>
      <c r="N16" s="2">
        <v>16002264</v>
      </c>
      <c r="O16" s="2">
        <v>14317724</v>
      </c>
      <c r="P16" t="s">
        <v>24</v>
      </c>
      <c r="Q16" t="s">
        <v>24</v>
      </c>
    </row>
    <row r="17" spans="1:17" x14ac:dyDescent="0.25">
      <c r="A17" t="s">
        <v>2130</v>
      </c>
      <c r="B17" t="s">
        <v>2131</v>
      </c>
      <c r="C17" s="1">
        <v>40909</v>
      </c>
      <c r="D17" s="1">
        <v>41274</v>
      </c>
      <c r="E17" t="s">
        <v>2132</v>
      </c>
      <c r="G17" t="s">
        <v>41</v>
      </c>
      <c r="H17" t="s">
        <v>42</v>
      </c>
      <c r="I17" t="str">
        <f>"53212"</f>
        <v>53212</v>
      </c>
      <c r="J17" t="s">
        <v>63</v>
      </c>
      <c r="K17" t="s">
        <v>64</v>
      </c>
      <c r="L17" s="2">
        <v>533260999</v>
      </c>
      <c r="M17" s="2">
        <v>54890862</v>
      </c>
      <c r="N17" s="2">
        <v>9907455</v>
      </c>
      <c r="O17" s="2">
        <v>30602453</v>
      </c>
      <c r="P17" s="2">
        <v>3000304</v>
      </c>
      <c r="Q17" s="2">
        <v>1203000</v>
      </c>
    </row>
    <row r="18" spans="1:17" x14ac:dyDescent="0.25">
      <c r="A18" t="s">
        <v>7150</v>
      </c>
      <c r="B18" t="s">
        <v>7151</v>
      </c>
      <c r="C18" s="1">
        <v>41275</v>
      </c>
      <c r="D18" s="1">
        <v>41639</v>
      </c>
      <c r="E18" t="s">
        <v>7152</v>
      </c>
      <c r="G18" t="s">
        <v>167</v>
      </c>
      <c r="H18" t="s">
        <v>62</v>
      </c>
      <c r="I18" t="str">
        <f>"45202"</f>
        <v>45202</v>
      </c>
      <c r="J18" t="s">
        <v>63</v>
      </c>
      <c r="K18" t="s">
        <v>64</v>
      </c>
      <c r="L18" s="2">
        <v>512365697</v>
      </c>
      <c r="M18" s="2">
        <v>88779702</v>
      </c>
      <c r="N18" s="2">
        <v>12948758</v>
      </c>
      <c r="O18" s="2">
        <v>75156771</v>
      </c>
      <c r="P18" s="2">
        <v>3707951</v>
      </c>
      <c r="Q18" s="2">
        <v>759316</v>
      </c>
    </row>
    <row r="19" spans="1:17" x14ac:dyDescent="0.25">
      <c r="A19" t="s">
        <v>6352</v>
      </c>
      <c r="B19" t="s">
        <v>6353</v>
      </c>
      <c r="C19" s="1">
        <v>41275</v>
      </c>
      <c r="D19" s="1">
        <v>41639</v>
      </c>
      <c r="E19" t="s">
        <v>6354</v>
      </c>
      <c r="G19" t="s">
        <v>1339</v>
      </c>
      <c r="H19" t="s">
        <v>47</v>
      </c>
      <c r="I19" t="str">
        <f>"48084"</f>
        <v>48084</v>
      </c>
      <c r="J19" t="s">
        <v>22</v>
      </c>
      <c r="K19" t="s">
        <v>30</v>
      </c>
      <c r="L19" s="2">
        <v>506222451</v>
      </c>
      <c r="M19" s="2">
        <v>196471270</v>
      </c>
      <c r="N19" s="2">
        <v>0</v>
      </c>
      <c r="O19" s="2">
        <v>51139823</v>
      </c>
      <c r="P19" t="s">
        <v>24</v>
      </c>
      <c r="Q19" t="s">
        <v>24</v>
      </c>
    </row>
    <row r="20" spans="1:17" x14ac:dyDescent="0.25">
      <c r="A20" t="s">
        <v>6330</v>
      </c>
      <c r="B20" t="s">
        <v>6331</v>
      </c>
      <c r="C20" s="1">
        <v>41275</v>
      </c>
      <c r="D20" s="1">
        <v>41639</v>
      </c>
      <c r="E20" t="s">
        <v>6332</v>
      </c>
      <c r="G20" t="s">
        <v>401</v>
      </c>
      <c r="H20" t="s">
        <v>47</v>
      </c>
      <c r="I20" t="str">
        <f>"48640"</f>
        <v>48640</v>
      </c>
      <c r="J20" t="s">
        <v>22</v>
      </c>
      <c r="K20" t="s">
        <v>91</v>
      </c>
      <c r="L20" s="2">
        <v>499871349</v>
      </c>
      <c r="M20" s="2">
        <v>163507256</v>
      </c>
      <c r="N20" s="2">
        <v>5625707</v>
      </c>
      <c r="O20" s="2">
        <v>19654898</v>
      </c>
      <c r="P20" t="s">
        <v>24</v>
      </c>
      <c r="Q20" t="s">
        <v>24</v>
      </c>
    </row>
    <row r="21" spans="1:17" x14ac:dyDescent="0.25">
      <c r="A21" t="s">
        <v>2209</v>
      </c>
      <c r="B21" t="s">
        <v>2210</v>
      </c>
      <c r="C21" s="1">
        <v>40909</v>
      </c>
      <c r="D21" s="1">
        <v>41274</v>
      </c>
      <c r="E21" t="s">
        <v>2211</v>
      </c>
      <c r="G21" t="s">
        <v>659</v>
      </c>
      <c r="H21" t="s">
        <v>47</v>
      </c>
      <c r="I21" t="str">
        <f>"48076"</f>
        <v>48076</v>
      </c>
      <c r="J21" t="s">
        <v>22</v>
      </c>
      <c r="K21" t="s">
        <v>23</v>
      </c>
      <c r="L21" s="2">
        <v>492299615</v>
      </c>
      <c r="M21" s="2">
        <v>93946592</v>
      </c>
      <c r="N21" s="2">
        <v>0</v>
      </c>
      <c r="O21" s="2">
        <v>101647676</v>
      </c>
      <c r="P21" t="s">
        <v>24</v>
      </c>
      <c r="Q21" t="s">
        <v>24</v>
      </c>
    </row>
    <row r="22" spans="1:17" ht="66" customHeight="1" x14ac:dyDescent="0.25">
      <c r="A22" t="s">
        <v>7276</v>
      </c>
      <c r="B22" t="s">
        <v>7277</v>
      </c>
      <c r="C22" s="1">
        <v>40909</v>
      </c>
      <c r="D22" s="1">
        <v>41274</v>
      </c>
      <c r="E22" t="s">
        <v>7278</v>
      </c>
      <c r="G22" t="s">
        <v>2759</v>
      </c>
      <c r="H22" t="s">
        <v>29</v>
      </c>
      <c r="I22" t="str">
        <f>"60093"</f>
        <v>60093</v>
      </c>
      <c r="J22" t="s">
        <v>22</v>
      </c>
      <c r="K22" t="s">
        <v>30</v>
      </c>
      <c r="L22" s="2">
        <v>480130242</v>
      </c>
      <c r="M22" s="2">
        <v>198595746</v>
      </c>
      <c r="N22" s="2">
        <v>3555317</v>
      </c>
      <c r="O22" s="2">
        <v>25829577</v>
      </c>
      <c r="P22" t="s">
        <v>24</v>
      </c>
      <c r="Q22" t="s">
        <v>24</v>
      </c>
    </row>
    <row r="23" spans="1:17" x14ac:dyDescent="0.25">
      <c r="A23" t="s">
        <v>3278</v>
      </c>
      <c r="B23" t="s">
        <v>3279</v>
      </c>
      <c r="C23" s="1">
        <v>40452</v>
      </c>
      <c r="D23" s="1">
        <v>40816</v>
      </c>
      <c r="E23" t="s">
        <v>3280</v>
      </c>
      <c r="G23" t="s">
        <v>28</v>
      </c>
      <c r="H23" t="s">
        <v>29</v>
      </c>
      <c r="I23" t="str">
        <f>"60601"</f>
        <v>60601</v>
      </c>
      <c r="J23" t="s">
        <v>63</v>
      </c>
      <c r="K23" t="s">
        <v>64</v>
      </c>
      <c r="L23" s="2">
        <v>464614410</v>
      </c>
      <c r="M23" s="2">
        <v>114953213</v>
      </c>
      <c r="N23" s="2">
        <v>5680802</v>
      </c>
      <c r="O23" s="2">
        <v>60019568</v>
      </c>
      <c r="P23" s="2">
        <v>1802838</v>
      </c>
      <c r="Q23" s="2">
        <v>336895</v>
      </c>
    </row>
    <row r="24" spans="1:17" x14ac:dyDescent="0.25">
      <c r="A24" t="s">
        <v>7369</v>
      </c>
      <c r="B24" t="s">
        <v>7370</v>
      </c>
      <c r="C24" s="1">
        <v>41275</v>
      </c>
      <c r="D24" s="1">
        <v>41639</v>
      </c>
      <c r="E24" t="s">
        <v>7371</v>
      </c>
      <c r="F24" t="s">
        <v>7372</v>
      </c>
      <c r="G24" t="s">
        <v>1818</v>
      </c>
      <c r="H24" t="s">
        <v>62</v>
      </c>
      <c r="I24" t="str">
        <f>"44236"</f>
        <v>44236</v>
      </c>
      <c r="J24" t="s">
        <v>63</v>
      </c>
      <c r="K24" t="s">
        <v>79</v>
      </c>
      <c r="L24" s="2">
        <v>461589826</v>
      </c>
      <c r="M24" s="2">
        <v>158993254</v>
      </c>
      <c r="N24" s="2">
        <v>941257</v>
      </c>
      <c r="O24" s="2">
        <v>64403975</v>
      </c>
      <c r="P24" s="2">
        <v>636280</v>
      </c>
      <c r="Q24" s="2">
        <v>621106</v>
      </c>
    </row>
    <row r="25" spans="1:17" x14ac:dyDescent="0.25">
      <c r="A25" t="s">
        <v>43</v>
      </c>
      <c r="B25" t="s">
        <v>44</v>
      </c>
      <c r="C25" s="1">
        <v>41518</v>
      </c>
      <c r="D25" s="1">
        <v>41882</v>
      </c>
      <c r="E25" t="s">
        <v>45</v>
      </c>
      <c r="G25" t="s">
        <v>46</v>
      </c>
      <c r="H25" t="s">
        <v>47</v>
      </c>
      <c r="I25" t="str">
        <f>"49017"</f>
        <v>49017</v>
      </c>
      <c r="J25" t="s">
        <v>22</v>
      </c>
      <c r="K25" t="s">
        <v>30</v>
      </c>
      <c r="L25" s="2">
        <v>448430564</v>
      </c>
      <c r="M25" s="2">
        <v>633594701</v>
      </c>
      <c r="N25" s="2">
        <v>318655932</v>
      </c>
      <c r="O25" s="2">
        <v>403691524</v>
      </c>
      <c r="P25" t="s">
        <v>24</v>
      </c>
      <c r="Q25" t="s">
        <v>24</v>
      </c>
    </row>
    <row r="26" spans="1:17" x14ac:dyDescent="0.25">
      <c r="A26" t="s">
        <v>1973</v>
      </c>
      <c r="B26" t="s">
        <v>1974</v>
      </c>
      <c r="C26" s="1">
        <v>41275</v>
      </c>
      <c r="D26" s="1">
        <v>41639</v>
      </c>
      <c r="E26" t="s">
        <v>1975</v>
      </c>
      <c r="G26" t="s">
        <v>1757</v>
      </c>
      <c r="H26" t="s">
        <v>47</v>
      </c>
      <c r="I26" t="str">
        <f>"49007"</f>
        <v>49007</v>
      </c>
      <c r="J26" t="s">
        <v>63</v>
      </c>
      <c r="K26" t="s">
        <v>64</v>
      </c>
      <c r="L26" s="2">
        <v>427019623</v>
      </c>
      <c r="M26" s="2">
        <v>67832561</v>
      </c>
      <c r="N26" s="2">
        <v>5773964</v>
      </c>
      <c r="O26" s="2">
        <v>20626919</v>
      </c>
      <c r="P26" s="2">
        <v>1843548</v>
      </c>
      <c r="Q26" s="2">
        <v>1286082</v>
      </c>
    </row>
    <row r="27" spans="1:17" x14ac:dyDescent="0.25">
      <c r="A27" t="s">
        <v>4584</v>
      </c>
      <c r="B27" t="s">
        <v>4585</v>
      </c>
      <c r="C27" s="1">
        <v>41275</v>
      </c>
      <c r="D27" s="1">
        <v>41639</v>
      </c>
      <c r="E27" t="s">
        <v>4586</v>
      </c>
      <c r="F27" t="s">
        <v>4587</v>
      </c>
      <c r="G27" t="s">
        <v>20</v>
      </c>
      <c r="H27" t="s">
        <v>21</v>
      </c>
      <c r="I27" t="str">
        <f>"46204"</f>
        <v>46204</v>
      </c>
      <c r="J27" t="s">
        <v>63</v>
      </c>
      <c r="K27" t="s">
        <v>64</v>
      </c>
      <c r="L27" s="2">
        <v>389932395</v>
      </c>
      <c r="M27" s="2">
        <v>73251041</v>
      </c>
      <c r="N27" s="2">
        <v>11728181</v>
      </c>
      <c r="O27" s="2">
        <v>39702754</v>
      </c>
      <c r="P27" s="2">
        <v>2323831</v>
      </c>
      <c r="Q27" s="2">
        <v>1033755</v>
      </c>
    </row>
    <row r="28" spans="1:17" x14ac:dyDescent="0.25">
      <c r="A28" t="s">
        <v>4872</v>
      </c>
      <c r="B28" t="s">
        <v>4873</v>
      </c>
      <c r="C28" s="1">
        <v>40909</v>
      </c>
      <c r="D28" s="1">
        <v>41274</v>
      </c>
      <c r="E28" t="s">
        <v>4874</v>
      </c>
      <c r="G28" t="s">
        <v>20</v>
      </c>
      <c r="H28" t="s">
        <v>21</v>
      </c>
      <c r="I28" t="str">
        <f>"46204"</f>
        <v>46204</v>
      </c>
      <c r="J28" t="s">
        <v>22</v>
      </c>
      <c r="K28" t="s">
        <v>30</v>
      </c>
      <c r="L28" s="2">
        <v>384921952</v>
      </c>
      <c r="M28" s="2">
        <v>109645672</v>
      </c>
      <c r="N28" s="2">
        <v>8163594</v>
      </c>
      <c r="O28" s="2">
        <v>20113158</v>
      </c>
      <c r="P28" t="s">
        <v>24</v>
      </c>
      <c r="Q28" t="s">
        <v>24</v>
      </c>
    </row>
    <row r="29" spans="1:17" x14ac:dyDescent="0.25">
      <c r="A29" t="s">
        <v>4581</v>
      </c>
      <c r="B29" t="s">
        <v>4582</v>
      </c>
      <c r="C29" s="1">
        <v>41091</v>
      </c>
      <c r="D29" s="1">
        <v>41455</v>
      </c>
      <c r="E29" t="s">
        <v>4583</v>
      </c>
      <c r="G29" t="s">
        <v>167</v>
      </c>
      <c r="H29" t="s">
        <v>62</v>
      </c>
      <c r="I29" t="str">
        <f>"45219"</f>
        <v>45219</v>
      </c>
      <c r="J29" t="s">
        <v>63</v>
      </c>
      <c r="K29" t="s">
        <v>79</v>
      </c>
      <c r="L29" s="2">
        <v>366513629</v>
      </c>
      <c r="M29" s="2">
        <v>141360588</v>
      </c>
      <c r="N29" s="2">
        <v>13422880</v>
      </c>
      <c r="O29" s="2">
        <v>109749602</v>
      </c>
      <c r="P29" s="2">
        <v>3262614</v>
      </c>
      <c r="Q29" s="2">
        <v>9294703</v>
      </c>
    </row>
    <row r="30" spans="1:17" x14ac:dyDescent="0.25">
      <c r="A30" t="s">
        <v>4960</v>
      </c>
      <c r="B30" t="s">
        <v>4961</v>
      </c>
      <c r="C30" s="1">
        <v>41456</v>
      </c>
      <c r="D30" s="1">
        <v>41820</v>
      </c>
      <c r="E30" t="s">
        <v>4962</v>
      </c>
      <c r="G30" t="s">
        <v>139</v>
      </c>
      <c r="H30" t="s">
        <v>47</v>
      </c>
      <c r="I30" t="str">
        <f>"49503"</f>
        <v>49503</v>
      </c>
      <c r="J30" t="s">
        <v>63</v>
      </c>
      <c r="K30" t="s">
        <v>79</v>
      </c>
      <c r="L30" s="2">
        <v>322783752</v>
      </c>
      <c r="M30" s="2">
        <v>30070932</v>
      </c>
      <c r="N30" s="2">
        <v>7158935</v>
      </c>
      <c r="O30" s="2">
        <v>16160956</v>
      </c>
      <c r="P30" s="2">
        <v>2062095</v>
      </c>
      <c r="Q30" s="2">
        <v>1372727</v>
      </c>
    </row>
    <row r="31" spans="1:17" x14ac:dyDescent="0.25">
      <c r="A31" t="s">
        <v>6453</v>
      </c>
      <c r="B31" t="s">
        <v>6454</v>
      </c>
      <c r="C31" s="1">
        <v>41091</v>
      </c>
      <c r="D31" s="1">
        <v>41455</v>
      </c>
      <c r="E31" t="s">
        <v>515</v>
      </c>
      <c r="F31" t="s">
        <v>516</v>
      </c>
      <c r="G31" t="s">
        <v>517</v>
      </c>
      <c r="H31" t="s">
        <v>62</v>
      </c>
      <c r="I31" t="str">
        <f>"45423"</f>
        <v>45423</v>
      </c>
      <c r="J31" t="s">
        <v>63</v>
      </c>
      <c r="K31" t="s">
        <v>64</v>
      </c>
      <c r="L31" s="2">
        <v>296222944</v>
      </c>
      <c r="M31" s="2">
        <v>48865279</v>
      </c>
      <c r="N31" s="2">
        <v>61301435</v>
      </c>
      <c r="O31" s="2">
        <v>33983004</v>
      </c>
      <c r="P31" s="2">
        <v>2988166</v>
      </c>
      <c r="Q31" s="2">
        <v>459663</v>
      </c>
    </row>
    <row r="32" spans="1:17" x14ac:dyDescent="0.25">
      <c r="A32" t="s">
        <v>6824</v>
      </c>
      <c r="B32" t="s">
        <v>6825</v>
      </c>
      <c r="C32" s="1">
        <v>41244</v>
      </c>
      <c r="D32" s="1">
        <v>41608</v>
      </c>
      <c r="E32" t="s">
        <v>6826</v>
      </c>
      <c r="G32" t="s">
        <v>517</v>
      </c>
      <c r="H32" t="s">
        <v>62</v>
      </c>
      <c r="I32" t="str">
        <f>"45414"</f>
        <v>45414</v>
      </c>
      <c r="J32" t="s">
        <v>22</v>
      </c>
      <c r="K32" t="s">
        <v>30</v>
      </c>
      <c r="L32" s="2">
        <v>290020854</v>
      </c>
      <c r="M32" s="2">
        <v>32481022</v>
      </c>
      <c r="N32" s="2">
        <v>0</v>
      </c>
      <c r="O32" s="2">
        <v>47983279</v>
      </c>
      <c r="P32" t="s">
        <v>24</v>
      </c>
      <c r="Q32" t="s">
        <v>24</v>
      </c>
    </row>
    <row r="33" spans="1:17" x14ac:dyDescent="0.25">
      <c r="A33" t="s">
        <v>6430</v>
      </c>
      <c r="B33" t="s">
        <v>6431</v>
      </c>
      <c r="C33" s="1">
        <v>41091</v>
      </c>
      <c r="D33" s="1">
        <v>41455</v>
      </c>
      <c r="E33" t="s">
        <v>705</v>
      </c>
      <c r="G33" t="s">
        <v>77</v>
      </c>
      <c r="H33" t="s">
        <v>78</v>
      </c>
      <c r="I33" t="str">
        <f>"40202"</f>
        <v>40202</v>
      </c>
      <c r="J33" t="s">
        <v>63</v>
      </c>
      <c r="K33" t="s">
        <v>64</v>
      </c>
      <c r="L33" s="2">
        <v>277247710</v>
      </c>
      <c r="M33" s="2">
        <v>38923744</v>
      </c>
      <c r="N33" s="2">
        <v>1779024</v>
      </c>
      <c r="O33" s="2">
        <v>28152146</v>
      </c>
      <c r="P33" s="2">
        <v>2226445</v>
      </c>
      <c r="Q33" s="2">
        <v>482482</v>
      </c>
    </row>
    <row r="34" spans="1:17" x14ac:dyDescent="0.25">
      <c r="A34" t="s">
        <v>5500</v>
      </c>
      <c r="B34" t="s">
        <v>5501</v>
      </c>
      <c r="C34" s="1">
        <v>41275</v>
      </c>
      <c r="D34" s="1">
        <v>41639</v>
      </c>
      <c r="E34" t="s">
        <v>5502</v>
      </c>
      <c r="F34" t="s">
        <v>5503</v>
      </c>
      <c r="G34" t="s">
        <v>2517</v>
      </c>
      <c r="H34" t="s">
        <v>21</v>
      </c>
      <c r="I34" t="str">
        <f>"46383"</f>
        <v>46383</v>
      </c>
      <c r="J34" t="s">
        <v>22</v>
      </c>
      <c r="K34" t="s">
        <v>5504</v>
      </c>
      <c r="L34" s="2">
        <v>258456169</v>
      </c>
      <c r="M34" s="2">
        <v>92049870</v>
      </c>
      <c r="N34" s="2">
        <v>23109376</v>
      </c>
      <c r="O34" s="2">
        <v>10030272</v>
      </c>
      <c r="P34" t="s">
        <v>24</v>
      </c>
      <c r="Q34" t="s">
        <v>24</v>
      </c>
    </row>
    <row r="35" spans="1:17" x14ac:dyDescent="0.25">
      <c r="A35" t="s">
        <v>7561</v>
      </c>
      <c r="B35" t="s">
        <v>7562</v>
      </c>
      <c r="C35" s="1">
        <v>41275</v>
      </c>
      <c r="D35" s="1">
        <v>41639</v>
      </c>
      <c r="E35" t="s">
        <v>2755</v>
      </c>
      <c r="G35" t="s">
        <v>353</v>
      </c>
      <c r="H35" t="s">
        <v>62</v>
      </c>
      <c r="I35" t="str">
        <f>"43204"</f>
        <v>43204</v>
      </c>
      <c r="J35" t="s">
        <v>22</v>
      </c>
      <c r="K35" t="s">
        <v>23</v>
      </c>
      <c r="L35" s="2">
        <v>256055393</v>
      </c>
      <c r="M35" s="2">
        <v>111969744</v>
      </c>
      <c r="N35" s="2">
        <v>1034913</v>
      </c>
      <c r="O35" s="2">
        <v>11108413</v>
      </c>
      <c r="P35" t="s">
        <v>24</v>
      </c>
      <c r="Q35" t="s">
        <v>24</v>
      </c>
    </row>
    <row r="36" spans="1:17" x14ac:dyDescent="0.25">
      <c r="A36" t="s">
        <v>1572</v>
      </c>
      <c r="B36" t="s">
        <v>1573</v>
      </c>
      <c r="C36" s="1">
        <v>41456</v>
      </c>
      <c r="D36" s="1">
        <v>41820</v>
      </c>
      <c r="E36" t="s">
        <v>1574</v>
      </c>
      <c r="G36" t="s">
        <v>1575</v>
      </c>
      <c r="H36" t="s">
        <v>42</v>
      </c>
      <c r="I36" t="str">
        <f>"54912"</f>
        <v>54912</v>
      </c>
      <c r="J36" t="s">
        <v>63</v>
      </c>
      <c r="K36" t="s">
        <v>64</v>
      </c>
      <c r="L36" s="2">
        <v>253815467</v>
      </c>
      <c r="M36" s="2">
        <v>36601405</v>
      </c>
      <c r="N36" s="2">
        <v>75536497</v>
      </c>
      <c r="O36" s="2">
        <v>13984368</v>
      </c>
      <c r="P36" s="2">
        <v>2184414</v>
      </c>
      <c r="Q36" s="2">
        <v>327364</v>
      </c>
    </row>
    <row r="37" spans="1:17" x14ac:dyDescent="0.25">
      <c r="A37" t="s">
        <v>4950</v>
      </c>
      <c r="B37" t="s">
        <v>4951</v>
      </c>
      <c r="C37" s="1">
        <v>41275</v>
      </c>
      <c r="D37" s="1">
        <v>41639</v>
      </c>
      <c r="E37" t="s">
        <v>4952</v>
      </c>
      <c r="F37" t="s">
        <v>3132</v>
      </c>
      <c r="G37" t="s">
        <v>4953</v>
      </c>
      <c r="H37" t="s">
        <v>29</v>
      </c>
      <c r="I37" t="str">
        <f>"60031"</f>
        <v>60031</v>
      </c>
      <c r="J37" t="s">
        <v>22</v>
      </c>
      <c r="K37" t="s">
        <v>30</v>
      </c>
      <c r="L37" s="2">
        <v>251190467</v>
      </c>
      <c r="M37" s="2">
        <v>88634627</v>
      </c>
      <c r="N37" s="2">
        <v>0</v>
      </c>
      <c r="O37" s="2">
        <v>7002507</v>
      </c>
      <c r="P37" t="s">
        <v>24</v>
      </c>
      <c r="Q37" t="s">
        <v>24</v>
      </c>
    </row>
    <row r="38" spans="1:17" x14ac:dyDescent="0.25">
      <c r="A38" t="s">
        <v>1157</v>
      </c>
      <c r="B38" t="s">
        <v>1158</v>
      </c>
      <c r="C38" s="1">
        <v>41275</v>
      </c>
      <c r="D38" s="1">
        <v>41639</v>
      </c>
      <c r="E38" t="s">
        <v>1159</v>
      </c>
      <c r="G38" t="s">
        <v>167</v>
      </c>
      <c r="H38" t="s">
        <v>62</v>
      </c>
      <c r="I38" t="str">
        <f>"45202"</f>
        <v>45202</v>
      </c>
      <c r="J38" t="s">
        <v>22</v>
      </c>
      <c r="K38" t="s">
        <v>30</v>
      </c>
      <c r="L38" s="2">
        <v>247825204</v>
      </c>
      <c r="M38" s="2">
        <v>117864688</v>
      </c>
      <c r="N38" s="2">
        <v>0</v>
      </c>
      <c r="O38" s="2">
        <v>14076006</v>
      </c>
      <c r="P38" t="s">
        <v>24</v>
      </c>
      <c r="Q38" t="s">
        <v>24</v>
      </c>
    </row>
    <row r="39" spans="1:17" x14ac:dyDescent="0.25">
      <c r="A39" t="s">
        <v>4208</v>
      </c>
      <c r="B39" t="s">
        <v>4209</v>
      </c>
      <c r="C39" s="1">
        <v>41275</v>
      </c>
      <c r="D39" s="1">
        <v>41639</v>
      </c>
      <c r="E39" t="s">
        <v>4210</v>
      </c>
      <c r="G39" t="s">
        <v>28</v>
      </c>
      <c r="H39" t="s">
        <v>29</v>
      </c>
      <c r="I39" t="str">
        <f>"60607"</f>
        <v>60607</v>
      </c>
      <c r="J39" t="s">
        <v>22</v>
      </c>
      <c r="K39" t="s">
        <v>30</v>
      </c>
      <c r="L39" s="2">
        <v>239242255</v>
      </c>
      <c r="M39" s="2">
        <v>67513616</v>
      </c>
      <c r="N39" s="2">
        <v>6631223</v>
      </c>
      <c r="O39" s="2">
        <v>24025527</v>
      </c>
      <c r="P39" t="s">
        <v>24</v>
      </c>
      <c r="Q39" t="s">
        <v>24</v>
      </c>
    </row>
    <row r="40" spans="1:17" x14ac:dyDescent="0.25">
      <c r="A40" t="s">
        <v>7188</v>
      </c>
      <c r="B40" t="s">
        <v>7189</v>
      </c>
      <c r="C40" s="1">
        <v>41244</v>
      </c>
      <c r="D40" s="1">
        <v>41608</v>
      </c>
      <c r="E40" t="s">
        <v>556</v>
      </c>
      <c r="G40" t="s">
        <v>167</v>
      </c>
      <c r="H40" t="s">
        <v>62</v>
      </c>
      <c r="I40" t="str">
        <f>"45201"</f>
        <v>45201</v>
      </c>
      <c r="J40" t="s">
        <v>22</v>
      </c>
      <c r="K40" t="s">
        <v>30</v>
      </c>
      <c r="L40" s="2">
        <v>233468030</v>
      </c>
      <c r="M40" s="2">
        <v>81027819</v>
      </c>
      <c r="N40" s="2">
        <v>0</v>
      </c>
      <c r="O40" s="2">
        <v>9630968</v>
      </c>
      <c r="P40" t="s">
        <v>24</v>
      </c>
      <c r="Q40" t="s">
        <v>24</v>
      </c>
    </row>
    <row r="41" spans="1:17" x14ac:dyDescent="0.25">
      <c r="A41" t="s">
        <v>7058</v>
      </c>
      <c r="B41" t="s">
        <v>7059</v>
      </c>
      <c r="C41" s="1">
        <v>41275</v>
      </c>
      <c r="D41" s="1">
        <v>41639</v>
      </c>
      <c r="E41" t="s">
        <v>7060</v>
      </c>
      <c r="G41" t="s">
        <v>1288</v>
      </c>
      <c r="H41" t="s">
        <v>47</v>
      </c>
      <c r="I41" t="str">
        <f>"49242"</f>
        <v>49242</v>
      </c>
      <c r="J41" t="s">
        <v>22</v>
      </c>
      <c r="K41" t="s">
        <v>23</v>
      </c>
      <c r="L41" s="2">
        <v>212078078</v>
      </c>
      <c r="M41" s="2">
        <v>237621645</v>
      </c>
      <c r="N41" s="2">
        <v>0</v>
      </c>
      <c r="O41" s="2">
        <v>11761197</v>
      </c>
      <c r="P41" t="s">
        <v>24</v>
      </c>
      <c r="Q41" t="s">
        <v>24</v>
      </c>
    </row>
    <row r="42" spans="1:17" x14ac:dyDescent="0.25">
      <c r="A42" t="s">
        <v>1612</v>
      </c>
      <c r="B42" t="s">
        <v>1613</v>
      </c>
      <c r="C42" s="1">
        <v>40909</v>
      </c>
      <c r="D42" s="1">
        <v>41274</v>
      </c>
      <c r="E42" t="s">
        <v>1614</v>
      </c>
      <c r="G42" t="s">
        <v>28</v>
      </c>
      <c r="H42" t="s">
        <v>29</v>
      </c>
      <c r="I42" t="str">
        <f>"60603"</f>
        <v>60603</v>
      </c>
      <c r="J42" t="s">
        <v>22</v>
      </c>
      <c r="K42" t="s">
        <v>30</v>
      </c>
      <c r="L42" s="2">
        <v>211462294</v>
      </c>
      <c r="M42" s="2">
        <v>46605330</v>
      </c>
      <c r="N42" s="2">
        <v>0</v>
      </c>
      <c r="O42" s="2">
        <v>11414411</v>
      </c>
      <c r="P42" t="s">
        <v>24</v>
      </c>
      <c r="Q42" t="s">
        <v>24</v>
      </c>
    </row>
    <row r="43" spans="1:17" x14ac:dyDescent="0.25">
      <c r="A43" t="s">
        <v>1951</v>
      </c>
      <c r="B43" t="s">
        <v>1952</v>
      </c>
      <c r="C43" s="1">
        <v>41275</v>
      </c>
      <c r="D43" s="1">
        <v>41639</v>
      </c>
      <c r="E43" t="s">
        <v>1953</v>
      </c>
      <c r="G43" t="s">
        <v>28</v>
      </c>
      <c r="H43" t="s">
        <v>29</v>
      </c>
      <c r="I43" t="str">
        <f>"60654"</f>
        <v>60654</v>
      </c>
      <c r="J43" t="s">
        <v>22</v>
      </c>
      <c r="K43" t="s">
        <v>30</v>
      </c>
      <c r="L43" s="2">
        <v>203997870</v>
      </c>
      <c r="M43" s="2">
        <v>67052305</v>
      </c>
      <c r="N43" s="2">
        <v>0</v>
      </c>
      <c r="O43" s="2">
        <v>12072334</v>
      </c>
      <c r="P43" t="s">
        <v>24</v>
      </c>
      <c r="Q43" t="s">
        <v>24</v>
      </c>
    </row>
    <row r="44" spans="1:17" x14ac:dyDescent="0.25">
      <c r="A44" t="s">
        <v>509</v>
      </c>
      <c r="B44" t="s">
        <v>510</v>
      </c>
      <c r="C44" s="1">
        <v>41091</v>
      </c>
      <c r="D44" s="1">
        <v>41455</v>
      </c>
      <c r="E44" t="s">
        <v>511</v>
      </c>
      <c r="G44" t="s">
        <v>512</v>
      </c>
      <c r="H44" t="s">
        <v>21</v>
      </c>
      <c r="I44" t="str">
        <f>"46515"</f>
        <v>46515</v>
      </c>
      <c r="J44" t="s">
        <v>63</v>
      </c>
      <c r="K44" t="s">
        <v>64</v>
      </c>
      <c r="L44" s="2">
        <v>197402382</v>
      </c>
      <c r="M44" s="2">
        <v>150055562</v>
      </c>
      <c r="N44" s="2">
        <v>9141840</v>
      </c>
      <c r="O44" s="2">
        <v>5093817</v>
      </c>
      <c r="P44" s="2">
        <v>236683</v>
      </c>
      <c r="Q44" s="2">
        <v>352582</v>
      </c>
    </row>
    <row r="45" spans="1:17" x14ac:dyDescent="0.25">
      <c r="A45" t="s">
        <v>192</v>
      </c>
      <c r="B45" t="s">
        <v>193</v>
      </c>
      <c r="C45" s="1">
        <v>41456</v>
      </c>
      <c r="D45" s="1">
        <v>41820</v>
      </c>
      <c r="E45" t="s">
        <v>194</v>
      </c>
      <c r="G45" t="s">
        <v>28</v>
      </c>
      <c r="H45" t="s">
        <v>29</v>
      </c>
      <c r="I45" t="str">
        <f>"60607"</f>
        <v>60607</v>
      </c>
      <c r="J45" t="s">
        <v>22</v>
      </c>
      <c r="K45" t="s">
        <v>30</v>
      </c>
      <c r="L45" s="2">
        <v>184876748</v>
      </c>
      <c r="M45" s="2">
        <v>25832063</v>
      </c>
      <c r="N45" s="2">
        <v>0</v>
      </c>
      <c r="O45" s="2">
        <v>8695780</v>
      </c>
      <c r="P45" t="s">
        <v>24</v>
      </c>
      <c r="Q45" t="s">
        <v>24</v>
      </c>
    </row>
    <row r="46" spans="1:17" x14ac:dyDescent="0.25">
      <c r="A46" t="s">
        <v>83</v>
      </c>
      <c r="B46" t="s">
        <v>84</v>
      </c>
      <c r="C46" s="1">
        <v>41456</v>
      </c>
      <c r="D46" s="1">
        <v>41820</v>
      </c>
      <c r="E46" t="s">
        <v>85</v>
      </c>
      <c r="G46" t="s">
        <v>86</v>
      </c>
      <c r="H46" t="s">
        <v>42</v>
      </c>
      <c r="I46" t="str">
        <f>"53705"</f>
        <v>53705</v>
      </c>
      <c r="J46" t="s">
        <v>22</v>
      </c>
      <c r="K46" t="s">
        <v>30</v>
      </c>
      <c r="L46" s="2">
        <v>181692871</v>
      </c>
      <c r="M46" s="2">
        <v>65333754</v>
      </c>
      <c r="N46" s="2">
        <v>352344</v>
      </c>
      <c r="O46" s="2">
        <v>10758094</v>
      </c>
      <c r="P46" t="s">
        <v>24</v>
      </c>
      <c r="Q46" t="s">
        <v>24</v>
      </c>
    </row>
    <row r="47" spans="1:17" x14ac:dyDescent="0.25">
      <c r="A47" t="s">
        <v>2922</v>
      </c>
      <c r="B47" t="s">
        <v>2923</v>
      </c>
      <c r="C47" s="1">
        <v>41365</v>
      </c>
      <c r="D47" s="1">
        <v>41729</v>
      </c>
      <c r="E47" t="s">
        <v>2924</v>
      </c>
      <c r="G47" t="s">
        <v>147</v>
      </c>
      <c r="H47" t="s">
        <v>62</v>
      </c>
      <c r="I47" t="str">
        <f>"44307"</f>
        <v>44307</v>
      </c>
      <c r="J47" t="s">
        <v>63</v>
      </c>
      <c r="K47" t="s">
        <v>64</v>
      </c>
      <c r="L47" s="2">
        <v>180986117</v>
      </c>
      <c r="M47" s="2">
        <v>28942827</v>
      </c>
      <c r="N47" s="2">
        <v>22306250</v>
      </c>
      <c r="O47" s="2">
        <v>10020062</v>
      </c>
      <c r="P47" s="2">
        <v>1171139</v>
      </c>
      <c r="Q47" s="2">
        <v>641048</v>
      </c>
    </row>
    <row r="48" spans="1:17" x14ac:dyDescent="0.25">
      <c r="A48" t="s">
        <v>1924</v>
      </c>
      <c r="B48" t="s">
        <v>1925</v>
      </c>
      <c r="C48" s="1">
        <v>41275</v>
      </c>
      <c r="D48" s="1">
        <v>41639</v>
      </c>
      <c r="E48" t="s">
        <v>1926</v>
      </c>
      <c r="F48" t="s">
        <v>1927</v>
      </c>
      <c r="G48" t="s">
        <v>371</v>
      </c>
      <c r="H48" t="s">
        <v>29</v>
      </c>
      <c r="I48" t="str">
        <f>"60062"</f>
        <v>60062</v>
      </c>
      <c r="J48" t="s">
        <v>22</v>
      </c>
      <c r="K48" t="s">
        <v>753</v>
      </c>
      <c r="L48" s="2">
        <v>171534300</v>
      </c>
      <c r="M48" s="2">
        <v>30860995</v>
      </c>
      <c r="N48" s="2">
        <v>1998477</v>
      </c>
      <c r="O48" s="2">
        <v>9734812</v>
      </c>
      <c r="P48" t="s">
        <v>24</v>
      </c>
      <c r="Q48" t="s">
        <v>24</v>
      </c>
    </row>
    <row r="49" spans="1:17" x14ac:dyDescent="0.25">
      <c r="A49" t="s">
        <v>7235</v>
      </c>
      <c r="B49" t="s">
        <v>7236</v>
      </c>
      <c r="C49" s="1">
        <v>40909</v>
      </c>
      <c r="D49" s="1">
        <v>41274</v>
      </c>
      <c r="E49" t="s">
        <v>7237</v>
      </c>
      <c r="F49" t="s">
        <v>964</v>
      </c>
      <c r="G49" t="s">
        <v>191</v>
      </c>
      <c r="H49" t="s">
        <v>62</v>
      </c>
      <c r="I49" t="str">
        <f>"44702"</f>
        <v>44702</v>
      </c>
      <c r="J49" t="s">
        <v>63</v>
      </c>
      <c r="K49" t="s">
        <v>64</v>
      </c>
      <c r="L49" s="2">
        <v>171293415</v>
      </c>
      <c r="M49" s="2">
        <v>19371588</v>
      </c>
      <c r="N49" s="2">
        <v>45065403</v>
      </c>
      <c r="O49" s="2">
        <v>8727354</v>
      </c>
      <c r="P49" s="2">
        <v>1318444</v>
      </c>
      <c r="Q49" s="2">
        <v>383974</v>
      </c>
    </row>
    <row r="50" spans="1:17" x14ac:dyDescent="0.25">
      <c r="A50" t="s">
        <v>92</v>
      </c>
      <c r="B50" t="s">
        <v>93</v>
      </c>
      <c r="C50" s="1">
        <v>41334</v>
      </c>
      <c r="D50" s="1">
        <v>41698</v>
      </c>
      <c r="E50" t="s">
        <v>94</v>
      </c>
      <c r="G50" t="s">
        <v>28</v>
      </c>
      <c r="H50" t="s">
        <v>29</v>
      </c>
      <c r="I50" t="str">
        <f>"60614"</f>
        <v>60614</v>
      </c>
      <c r="J50" t="s">
        <v>22</v>
      </c>
      <c r="K50" t="s">
        <v>23</v>
      </c>
      <c r="L50" s="2">
        <v>168662285</v>
      </c>
      <c r="M50" s="2">
        <v>18344470</v>
      </c>
      <c r="N50" s="2">
        <v>30150786</v>
      </c>
      <c r="O50" s="2">
        <v>24163478</v>
      </c>
      <c r="P50" t="s">
        <v>24</v>
      </c>
      <c r="Q50" t="s">
        <v>24</v>
      </c>
    </row>
    <row r="51" spans="1:17" x14ac:dyDescent="0.25">
      <c r="A51" t="s">
        <v>6679</v>
      </c>
      <c r="B51" t="s">
        <v>6680</v>
      </c>
      <c r="C51" s="1">
        <v>41091</v>
      </c>
      <c r="D51" s="1">
        <v>41455</v>
      </c>
      <c r="E51" t="s">
        <v>6681</v>
      </c>
      <c r="G51" t="s">
        <v>1792</v>
      </c>
      <c r="H51" t="s">
        <v>47</v>
      </c>
      <c r="I51" t="str">
        <f>"48304"</f>
        <v>48304</v>
      </c>
      <c r="J51" t="s">
        <v>22</v>
      </c>
      <c r="K51" t="s">
        <v>23</v>
      </c>
      <c r="L51" s="2">
        <v>167382925</v>
      </c>
      <c r="M51" s="2">
        <v>235369062</v>
      </c>
      <c r="N51" s="2">
        <v>6738705</v>
      </c>
      <c r="O51" s="2">
        <v>11383635</v>
      </c>
      <c r="P51" t="s">
        <v>24</v>
      </c>
      <c r="Q51" t="s">
        <v>24</v>
      </c>
    </row>
    <row r="52" spans="1:17" x14ac:dyDescent="0.25">
      <c r="A52" t="s">
        <v>5280</v>
      </c>
      <c r="B52" t="s">
        <v>5281</v>
      </c>
      <c r="C52" s="1">
        <v>41275</v>
      </c>
      <c r="D52" s="1">
        <v>41639</v>
      </c>
      <c r="E52" t="s">
        <v>5282</v>
      </c>
      <c r="G52" t="s">
        <v>371</v>
      </c>
      <c r="H52" t="s">
        <v>29</v>
      </c>
      <c r="I52" t="str">
        <f>"60062"</f>
        <v>60062</v>
      </c>
      <c r="J52" t="s">
        <v>22</v>
      </c>
      <c r="K52" t="s">
        <v>30</v>
      </c>
      <c r="L52" s="2">
        <v>155047833</v>
      </c>
      <c r="M52" s="2">
        <v>139658809</v>
      </c>
      <c r="N52" s="2">
        <v>0</v>
      </c>
      <c r="O52" s="2">
        <v>10630637</v>
      </c>
      <c r="P52" t="s">
        <v>24</v>
      </c>
      <c r="Q52" t="s">
        <v>24</v>
      </c>
    </row>
    <row r="53" spans="1:17" x14ac:dyDescent="0.25">
      <c r="A53" t="s">
        <v>6441</v>
      </c>
      <c r="B53" t="s">
        <v>6442</v>
      </c>
      <c r="C53" s="1">
        <v>41091</v>
      </c>
      <c r="D53" s="1">
        <v>41455</v>
      </c>
      <c r="E53" t="s">
        <v>6443</v>
      </c>
      <c r="F53" t="s">
        <v>3132</v>
      </c>
      <c r="G53" t="s">
        <v>167</v>
      </c>
      <c r="H53" t="s">
        <v>62</v>
      </c>
      <c r="I53" t="str">
        <f>"45202"</f>
        <v>45202</v>
      </c>
      <c r="J53" t="s">
        <v>63</v>
      </c>
      <c r="K53" t="s">
        <v>79</v>
      </c>
      <c r="L53" s="2">
        <v>151983301</v>
      </c>
      <c r="M53" s="2">
        <v>24112061</v>
      </c>
      <c r="N53" s="2">
        <v>137033370</v>
      </c>
      <c r="O53" s="2">
        <v>35343815</v>
      </c>
      <c r="P53" s="2">
        <v>5837473</v>
      </c>
      <c r="Q53" s="2">
        <v>150007</v>
      </c>
    </row>
    <row r="54" spans="1:17" x14ac:dyDescent="0.25">
      <c r="A54" t="s">
        <v>7111</v>
      </c>
      <c r="B54" t="s">
        <v>7112</v>
      </c>
      <c r="C54" s="1">
        <v>41275</v>
      </c>
      <c r="D54" s="1">
        <v>41639</v>
      </c>
      <c r="E54" t="s">
        <v>2093</v>
      </c>
      <c r="G54" t="s">
        <v>1809</v>
      </c>
      <c r="H54" t="s">
        <v>29</v>
      </c>
      <c r="I54" t="str">
        <f>"60045"</f>
        <v>60045</v>
      </c>
      <c r="J54" t="s">
        <v>22</v>
      </c>
      <c r="K54" t="s">
        <v>79</v>
      </c>
      <c r="L54" s="2">
        <v>150154388</v>
      </c>
      <c r="M54" s="2">
        <v>31249988</v>
      </c>
      <c r="N54" s="2">
        <v>5353844</v>
      </c>
      <c r="O54" s="2">
        <v>5442969</v>
      </c>
      <c r="P54" t="s">
        <v>24</v>
      </c>
      <c r="Q54" t="s">
        <v>24</v>
      </c>
    </row>
    <row r="55" spans="1:17" x14ac:dyDescent="0.25">
      <c r="A55" t="s">
        <v>5094</v>
      </c>
      <c r="B55" t="s">
        <v>5095</v>
      </c>
      <c r="C55" s="1">
        <v>41275</v>
      </c>
      <c r="D55" s="1">
        <v>41639</v>
      </c>
      <c r="E55" t="s">
        <v>5096</v>
      </c>
      <c r="G55" t="s">
        <v>1339</v>
      </c>
      <c r="H55" t="s">
        <v>47</v>
      </c>
      <c r="I55" t="str">
        <f>"48084"</f>
        <v>48084</v>
      </c>
      <c r="J55" t="s">
        <v>22</v>
      </c>
      <c r="K55" t="s">
        <v>23</v>
      </c>
      <c r="L55" s="2">
        <v>149191318</v>
      </c>
      <c r="M55" s="2">
        <v>36556295</v>
      </c>
      <c r="N55" s="2">
        <v>0</v>
      </c>
      <c r="O55" s="2">
        <v>11089290</v>
      </c>
      <c r="P55" t="s">
        <v>24</v>
      </c>
      <c r="Q55" t="s">
        <v>24</v>
      </c>
    </row>
    <row r="56" spans="1:17" x14ac:dyDescent="0.25">
      <c r="A56" t="s">
        <v>6784</v>
      </c>
      <c r="B56" t="s">
        <v>6785</v>
      </c>
      <c r="C56" s="1">
        <v>41091</v>
      </c>
      <c r="D56" s="1">
        <v>41455</v>
      </c>
      <c r="E56" t="s">
        <v>6786</v>
      </c>
      <c r="G56" t="s">
        <v>353</v>
      </c>
      <c r="H56" t="s">
        <v>62</v>
      </c>
      <c r="I56" t="str">
        <f>"43215"</f>
        <v>43215</v>
      </c>
      <c r="J56" t="s">
        <v>63</v>
      </c>
      <c r="K56" t="s">
        <v>6440</v>
      </c>
      <c r="L56" s="2">
        <v>147258907</v>
      </c>
      <c r="M56" s="2">
        <v>15662095</v>
      </c>
      <c r="N56" s="2">
        <v>95420682</v>
      </c>
      <c r="O56" s="2">
        <v>3156638</v>
      </c>
      <c r="P56" s="2">
        <v>975794</v>
      </c>
      <c r="Q56" s="2">
        <v>369369</v>
      </c>
    </row>
    <row r="57" spans="1:17" x14ac:dyDescent="0.25">
      <c r="A57" t="s">
        <v>4451</v>
      </c>
      <c r="B57" t="s">
        <v>4452</v>
      </c>
      <c r="C57" s="1">
        <v>41456</v>
      </c>
      <c r="D57" s="1">
        <v>41820</v>
      </c>
      <c r="E57" t="s">
        <v>4453</v>
      </c>
      <c r="G57" t="s">
        <v>1560</v>
      </c>
      <c r="H57" t="s">
        <v>21</v>
      </c>
      <c r="I57" t="str">
        <f>"46624"</f>
        <v>46624</v>
      </c>
      <c r="J57" t="s">
        <v>63</v>
      </c>
      <c r="K57" t="s">
        <v>64</v>
      </c>
      <c r="L57" s="2">
        <v>146885950</v>
      </c>
      <c r="M57" s="2">
        <v>16111909</v>
      </c>
      <c r="N57" s="2">
        <v>2755243</v>
      </c>
      <c r="O57" s="2">
        <v>6691430</v>
      </c>
      <c r="P57" s="2">
        <v>796007</v>
      </c>
      <c r="Q57" s="2">
        <v>115951</v>
      </c>
    </row>
    <row r="58" spans="1:17" x14ac:dyDescent="0.25">
      <c r="A58" t="s">
        <v>7164</v>
      </c>
      <c r="B58" t="s">
        <v>7165</v>
      </c>
      <c r="C58" s="1">
        <v>41275</v>
      </c>
      <c r="D58" s="1">
        <v>41639</v>
      </c>
      <c r="E58" t="s">
        <v>7166</v>
      </c>
      <c r="F58" t="s">
        <v>3132</v>
      </c>
      <c r="G58" t="s">
        <v>1386</v>
      </c>
      <c r="H58" t="s">
        <v>47</v>
      </c>
      <c r="I58" t="str">
        <f>"48502"</f>
        <v>48502</v>
      </c>
      <c r="J58" t="s">
        <v>63</v>
      </c>
      <c r="K58" t="s">
        <v>64</v>
      </c>
      <c r="L58" s="2">
        <v>144411892</v>
      </c>
      <c r="M58" s="2">
        <v>13185577</v>
      </c>
      <c r="N58" s="2">
        <v>676138</v>
      </c>
      <c r="O58" s="2">
        <v>5922512</v>
      </c>
      <c r="P58" s="2">
        <v>723432</v>
      </c>
      <c r="Q58" s="2">
        <v>479334</v>
      </c>
    </row>
    <row r="59" spans="1:17" x14ac:dyDescent="0.25">
      <c r="A59" t="s">
        <v>7700</v>
      </c>
      <c r="B59" t="s">
        <v>7701</v>
      </c>
      <c r="C59" s="1">
        <v>41275</v>
      </c>
      <c r="D59" s="1">
        <v>41639</v>
      </c>
      <c r="E59" t="s">
        <v>7702</v>
      </c>
      <c r="F59" t="s">
        <v>3132</v>
      </c>
      <c r="G59" t="s">
        <v>7703</v>
      </c>
      <c r="H59" t="s">
        <v>47</v>
      </c>
      <c r="I59" t="str">
        <f>"49440"</f>
        <v>49440</v>
      </c>
      <c r="J59" t="s">
        <v>63</v>
      </c>
      <c r="K59" t="s">
        <v>64</v>
      </c>
      <c r="L59" s="2">
        <v>143522556</v>
      </c>
      <c r="M59" s="2">
        <v>16102282</v>
      </c>
      <c r="N59" s="2">
        <v>17350477</v>
      </c>
      <c r="O59" s="2">
        <v>10793552</v>
      </c>
      <c r="P59" s="2">
        <v>549081</v>
      </c>
      <c r="Q59" s="2">
        <v>486567</v>
      </c>
    </row>
    <row r="60" spans="1:17" x14ac:dyDescent="0.25">
      <c r="A60" t="s">
        <v>7267</v>
      </c>
      <c r="B60" t="s">
        <v>7268</v>
      </c>
      <c r="C60" s="1">
        <v>41214</v>
      </c>
      <c r="D60" s="1">
        <v>41578</v>
      </c>
      <c r="E60" t="s">
        <v>7269</v>
      </c>
      <c r="G60" t="s">
        <v>517</v>
      </c>
      <c r="H60" t="s">
        <v>62</v>
      </c>
      <c r="I60" t="str">
        <f>"45402"</f>
        <v>45402</v>
      </c>
      <c r="J60" t="s">
        <v>22</v>
      </c>
      <c r="K60" t="s">
        <v>30</v>
      </c>
      <c r="L60" s="2">
        <v>141701783</v>
      </c>
      <c r="M60" s="2">
        <v>92329927</v>
      </c>
      <c r="N60" s="2">
        <v>476495</v>
      </c>
      <c r="O60" s="2">
        <v>10697541</v>
      </c>
      <c r="P60" t="s">
        <v>24</v>
      </c>
      <c r="Q60" t="s">
        <v>24</v>
      </c>
    </row>
    <row r="61" spans="1:17" x14ac:dyDescent="0.25">
      <c r="A61" t="s">
        <v>4299</v>
      </c>
      <c r="B61" t="s">
        <v>4300</v>
      </c>
      <c r="C61" s="1">
        <v>41275</v>
      </c>
      <c r="D61" s="1">
        <v>41639</v>
      </c>
      <c r="E61" t="s">
        <v>4301</v>
      </c>
      <c r="G61" t="s">
        <v>20</v>
      </c>
      <c r="H61" t="s">
        <v>21</v>
      </c>
      <c r="I61" t="str">
        <f>"46204"</f>
        <v>46204</v>
      </c>
      <c r="J61" t="s">
        <v>22</v>
      </c>
      <c r="K61" t="s">
        <v>23</v>
      </c>
      <c r="L61" s="2">
        <v>140515995</v>
      </c>
      <c r="M61" s="2">
        <v>22273453</v>
      </c>
      <c r="N61" s="2">
        <v>8201255</v>
      </c>
      <c r="O61" s="2">
        <v>14082952</v>
      </c>
      <c r="P61" t="s">
        <v>24</v>
      </c>
      <c r="Q61" t="s">
        <v>24</v>
      </c>
    </row>
    <row r="62" spans="1:17" x14ac:dyDescent="0.25">
      <c r="A62" t="s">
        <v>7132</v>
      </c>
      <c r="B62" t="s">
        <v>7133</v>
      </c>
      <c r="C62" s="1">
        <v>41275</v>
      </c>
      <c r="D62" s="1">
        <v>41639</v>
      </c>
      <c r="E62" t="s">
        <v>7134</v>
      </c>
      <c r="G62" t="s">
        <v>1054</v>
      </c>
      <c r="H62" t="s">
        <v>47</v>
      </c>
      <c r="I62" t="str">
        <f>"48322"</f>
        <v>48322</v>
      </c>
      <c r="J62" t="s">
        <v>22</v>
      </c>
      <c r="K62" t="s">
        <v>23</v>
      </c>
      <c r="L62" s="2">
        <v>140257669</v>
      </c>
      <c r="M62" s="2">
        <v>84507253</v>
      </c>
      <c r="N62" s="2">
        <v>62358</v>
      </c>
      <c r="O62" s="2">
        <v>3697053</v>
      </c>
      <c r="P62" t="s">
        <v>24</v>
      </c>
      <c r="Q62" t="s">
        <v>24</v>
      </c>
    </row>
    <row r="63" spans="1:17" x14ac:dyDescent="0.25">
      <c r="A63" t="s">
        <v>2027</v>
      </c>
      <c r="B63" t="s">
        <v>2028</v>
      </c>
      <c r="C63" s="1">
        <v>41275</v>
      </c>
      <c r="D63" s="1">
        <v>41639</v>
      </c>
      <c r="E63" t="s">
        <v>2029</v>
      </c>
      <c r="G63" t="s">
        <v>535</v>
      </c>
      <c r="H63" t="s">
        <v>62</v>
      </c>
      <c r="I63" t="str">
        <f>"44902"</f>
        <v>44902</v>
      </c>
      <c r="J63" t="s">
        <v>63</v>
      </c>
      <c r="K63" t="s">
        <v>64</v>
      </c>
      <c r="L63" s="2">
        <v>136600233</v>
      </c>
      <c r="M63" s="2">
        <v>20034460</v>
      </c>
      <c r="N63" s="2">
        <v>60273</v>
      </c>
      <c r="O63" s="2">
        <v>3984538</v>
      </c>
      <c r="P63" s="2">
        <v>371117</v>
      </c>
      <c r="Q63" s="2">
        <v>128479</v>
      </c>
    </row>
    <row r="64" spans="1:17" x14ac:dyDescent="0.25">
      <c r="A64" t="s">
        <v>7545</v>
      </c>
      <c r="B64" t="s">
        <v>7546</v>
      </c>
      <c r="C64" s="1">
        <v>41275</v>
      </c>
      <c r="D64" s="1">
        <v>41639</v>
      </c>
      <c r="E64" t="s">
        <v>7547</v>
      </c>
      <c r="F64" t="s">
        <v>7548</v>
      </c>
      <c r="G64" t="s">
        <v>1189</v>
      </c>
      <c r="H64" t="s">
        <v>29</v>
      </c>
      <c r="I64" t="str">
        <f>"60521"</f>
        <v>60521</v>
      </c>
      <c r="J64" t="s">
        <v>22</v>
      </c>
      <c r="K64" t="s">
        <v>30</v>
      </c>
      <c r="L64" s="2">
        <v>136293450</v>
      </c>
      <c r="M64" s="2">
        <v>12314995</v>
      </c>
      <c r="N64" s="2">
        <v>6631808</v>
      </c>
      <c r="O64" s="2">
        <v>7841847</v>
      </c>
      <c r="P64" t="s">
        <v>24</v>
      </c>
      <c r="Q64" t="s">
        <v>24</v>
      </c>
    </row>
    <row r="65" spans="1:17" x14ac:dyDescent="0.25">
      <c r="A65" t="s">
        <v>4211</v>
      </c>
      <c r="B65" t="s">
        <v>4212</v>
      </c>
      <c r="C65" s="1">
        <v>40909</v>
      </c>
      <c r="D65" s="1">
        <v>41274</v>
      </c>
      <c r="E65" t="s">
        <v>4213</v>
      </c>
      <c r="G65" t="s">
        <v>86</v>
      </c>
      <c r="H65" t="s">
        <v>42</v>
      </c>
      <c r="I65" t="str">
        <f>"53705"</f>
        <v>53705</v>
      </c>
      <c r="J65" t="s">
        <v>63</v>
      </c>
      <c r="K65" t="s">
        <v>64</v>
      </c>
      <c r="L65" s="2">
        <v>135458384</v>
      </c>
      <c r="M65" s="2">
        <v>6433150</v>
      </c>
      <c r="N65" s="2">
        <v>15104963</v>
      </c>
      <c r="O65" s="2">
        <v>11051518</v>
      </c>
      <c r="P65" s="2">
        <v>572937</v>
      </c>
      <c r="Q65" s="2">
        <v>567941</v>
      </c>
    </row>
    <row r="66" spans="1:17" x14ac:dyDescent="0.25">
      <c r="A66" t="s">
        <v>6450</v>
      </c>
      <c r="B66" t="s">
        <v>6451</v>
      </c>
      <c r="C66" s="1">
        <v>41091</v>
      </c>
      <c r="D66" s="1">
        <v>41455</v>
      </c>
      <c r="E66" t="s">
        <v>6452</v>
      </c>
      <c r="G66" t="s">
        <v>167</v>
      </c>
      <c r="H66" t="s">
        <v>62</v>
      </c>
      <c r="I66" t="str">
        <f>"45202"</f>
        <v>45202</v>
      </c>
      <c r="J66" t="s">
        <v>63</v>
      </c>
      <c r="K66" t="s">
        <v>79</v>
      </c>
      <c r="L66" s="2">
        <v>125837139</v>
      </c>
      <c r="M66" s="2">
        <v>3745319</v>
      </c>
      <c r="N66" s="2">
        <v>1008839</v>
      </c>
      <c r="O66" s="2">
        <v>253026</v>
      </c>
      <c r="P66" s="2">
        <v>187697</v>
      </c>
      <c r="Q66" s="2">
        <v>0</v>
      </c>
    </row>
    <row r="67" spans="1:17" x14ac:dyDescent="0.25">
      <c r="A67" t="s">
        <v>7053</v>
      </c>
      <c r="B67" t="s">
        <v>7054</v>
      </c>
      <c r="C67" s="1">
        <v>41275</v>
      </c>
      <c r="D67" s="1">
        <v>41639</v>
      </c>
      <c r="E67" t="s">
        <v>7055</v>
      </c>
      <c r="G67" t="s">
        <v>113</v>
      </c>
      <c r="H67" t="s">
        <v>42</v>
      </c>
      <c r="I67" t="str">
        <f>"53186"</f>
        <v>53186</v>
      </c>
      <c r="J67" t="s">
        <v>22</v>
      </c>
      <c r="K67" t="s">
        <v>23</v>
      </c>
      <c r="L67" s="2">
        <v>123478257</v>
      </c>
      <c r="M67" s="2">
        <v>4951138</v>
      </c>
      <c r="N67" s="2">
        <v>30468861</v>
      </c>
      <c r="O67" s="2">
        <v>8154124</v>
      </c>
      <c r="P67" t="s">
        <v>24</v>
      </c>
      <c r="Q67" t="s">
        <v>24</v>
      </c>
    </row>
    <row r="68" spans="1:17" x14ac:dyDescent="0.25">
      <c r="A68" t="s">
        <v>4563</v>
      </c>
      <c r="B68" t="s">
        <v>4564</v>
      </c>
      <c r="C68" s="1">
        <v>41275</v>
      </c>
      <c r="D68" s="1">
        <v>41639</v>
      </c>
      <c r="E68" t="s">
        <v>4565</v>
      </c>
      <c r="F68" t="s">
        <v>4566</v>
      </c>
      <c r="G68" t="s">
        <v>829</v>
      </c>
      <c r="H68" t="s">
        <v>62</v>
      </c>
      <c r="I68" t="str">
        <f>"43604"</f>
        <v>43604</v>
      </c>
      <c r="J68" t="s">
        <v>63</v>
      </c>
      <c r="K68" t="s">
        <v>64</v>
      </c>
      <c r="L68" s="2">
        <v>120870098</v>
      </c>
      <c r="M68" s="2">
        <v>23308795</v>
      </c>
      <c r="N68" s="2">
        <v>8642</v>
      </c>
      <c r="O68" s="2">
        <v>15951796</v>
      </c>
      <c r="P68" s="2">
        <v>3234610</v>
      </c>
      <c r="Q68" s="2">
        <v>8679</v>
      </c>
    </row>
    <row r="69" spans="1:17" x14ac:dyDescent="0.25">
      <c r="A69" t="s">
        <v>1304</v>
      </c>
      <c r="B69" t="s">
        <v>1305</v>
      </c>
      <c r="C69" s="1">
        <v>40909</v>
      </c>
      <c r="D69" s="1">
        <v>41274</v>
      </c>
      <c r="E69" t="s">
        <v>1306</v>
      </c>
      <c r="G69" t="s">
        <v>364</v>
      </c>
      <c r="H69" t="s">
        <v>21</v>
      </c>
      <c r="I69" t="str">
        <f>"47708"</f>
        <v>47708</v>
      </c>
      <c r="J69" t="s">
        <v>22</v>
      </c>
      <c r="K69" t="s">
        <v>23</v>
      </c>
      <c r="L69" s="2">
        <v>116014125</v>
      </c>
      <c r="M69" s="2">
        <v>57971706</v>
      </c>
      <c r="N69" s="2">
        <v>4527037</v>
      </c>
      <c r="O69" s="2">
        <v>6673643</v>
      </c>
      <c r="P69" t="s">
        <v>24</v>
      </c>
      <c r="Q69" t="s">
        <v>24</v>
      </c>
    </row>
    <row r="70" spans="1:17" x14ac:dyDescent="0.25">
      <c r="A70" t="s">
        <v>1487</v>
      </c>
      <c r="B70" t="s">
        <v>1488</v>
      </c>
      <c r="C70" s="1">
        <v>41275</v>
      </c>
      <c r="D70" s="1">
        <v>41639</v>
      </c>
      <c r="E70" t="s">
        <v>1489</v>
      </c>
      <c r="G70" t="s">
        <v>1490</v>
      </c>
      <c r="H70" t="s">
        <v>62</v>
      </c>
      <c r="I70" t="str">
        <f>"44035"</f>
        <v>44035</v>
      </c>
      <c r="J70" t="s">
        <v>63</v>
      </c>
      <c r="K70" t="s">
        <v>64</v>
      </c>
      <c r="L70" s="2">
        <v>113851274</v>
      </c>
      <c r="M70" s="2">
        <v>17477463</v>
      </c>
      <c r="N70" s="2">
        <v>19987853</v>
      </c>
      <c r="O70" s="2">
        <v>4976446</v>
      </c>
      <c r="P70" s="2">
        <v>602653</v>
      </c>
      <c r="Q70" s="2">
        <v>290493</v>
      </c>
    </row>
    <row r="71" spans="1:17" x14ac:dyDescent="0.25">
      <c r="A71" t="s">
        <v>7621</v>
      </c>
      <c r="B71" t="s">
        <v>7622</v>
      </c>
      <c r="C71" s="1">
        <v>40909</v>
      </c>
      <c r="D71" s="1">
        <v>41274</v>
      </c>
      <c r="E71" t="s">
        <v>7623</v>
      </c>
      <c r="G71" t="s">
        <v>1792</v>
      </c>
      <c r="H71" t="s">
        <v>47</v>
      </c>
      <c r="I71" t="str">
        <f>"48304"</f>
        <v>48304</v>
      </c>
      <c r="J71" t="s">
        <v>22</v>
      </c>
      <c r="K71" t="s">
        <v>30</v>
      </c>
      <c r="L71" s="2">
        <v>112282382</v>
      </c>
      <c r="M71" s="2">
        <v>147096888</v>
      </c>
      <c r="N71" s="2">
        <v>62</v>
      </c>
      <c r="O71" s="2">
        <v>5990405</v>
      </c>
      <c r="P71" t="s">
        <v>24</v>
      </c>
      <c r="Q71" t="s">
        <v>24</v>
      </c>
    </row>
    <row r="72" spans="1:17" x14ac:dyDescent="0.25">
      <c r="A72" t="s">
        <v>1513</v>
      </c>
      <c r="B72" t="s">
        <v>1514</v>
      </c>
      <c r="C72" s="1">
        <v>41456</v>
      </c>
      <c r="D72" s="1">
        <v>41820</v>
      </c>
      <c r="E72" t="s">
        <v>1515</v>
      </c>
      <c r="F72" t="s">
        <v>1516</v>
      </c>
      <c r="G72" t="s">
        <v>1517</v>
      </c>
      <c r="H72" t="s">
        <v>29</v>
      </c>
      <c r="I72" t="str">
        <f>"60173"</f>
        <v>60173</v>
      </c>
      <c r="J72" t="s">
        <v>63</v>
      </c>
      <c r="K72" t="s">
        <v>79</v>
      </c>
      <c r="L72" s="2">
        <v>110947612</v>
      </c>
      <c r="M72" s="2">
        <v>16271695</v>
      </c>
      <c r="N72" s="2">
        <v>0</v>
      </c>
      <c r="O72" s="2">
        <v>5465547</v>
      </c>
      <c r="P72" s="2">
        <v>882069</v>
      </c>
      <c r="Q72" s="2">
        <v>177064</v>
      </c>
    </row>
    <row r="73" spans="1:17" x14ac:dyDescent="0.25">
      <c r="A73" t="s">
        <v>7657</v>
      </c>
      <c r="B73" t="s">
        <v>7658</v>
      </c>
      <c r="C73" s="1">
        <v>41275</v>
      </c>
      <c r="D73" s="1">
        <v>41639</v>
      </c>
      <c r="E73" t="s">
        <v>7659</v>
      </c>
      <c r="G73" t="s">
        <v>28</v>
      </c>
      <c r="H73" t="s">
        <v>29</v>
      </c>
      <c r="I73" t="str">
        <f>"60606"</f>
        <v>60606</v>
      </c>
      <c r="J73" t="s">
        <v>22</v>
      </c>
      <c r="K73" t="s">
        <v>23</v>
      </c>
      <c r="L73" s="2">
        <v>110253146</v>
      </c>
      <c r="M73" s="2">
        <v>7562138</v>
      </c>
      <c r="N73" s="2">
        <v>2638779</v>
      </c>
      <c r="O73" s="2">
        <v>7886010</v>
      </c>
      <c r="P73" t="s">
        <v>24</v>
      </c>
      <c r="Q73" t="s">
        <v>24</v>
      </c>
    </row>
    <row r="74" spans="1:17" x14ac:dyDescent="0.25">
      <c r="A74" t="s">
        <v>5404</v>
      </c>
      <c r="B74" t="s">
        <v>5405</v>
      </c>
      <c r="C74" s="1">
        <v>41365</v>
      </c>
      <c r="D74" s="1">
        <v>41729</v>
      </c>
      <c r="E74" t="s">
        <v>5406</v>
      </c>
      <c r="F74" t="s">
        <v>5407</v>
      </c>
      <c r="G74" t="s">
        <v>46</v>
      </c>
      <c r="H74" t="s">
        <v>47</v>
      </c>
      <c r="I74" t="str">
        <f>"49017"</f>
        <v>49017</v>
      </c>
      <c r="J74" t="s">
        <v>63</v>
      </c>
      <c r="K74" t="s">
        <v>64</v>
      </c>
      <c r="L74" s="2">
        <v>108846770</v>
      </c>
      <c r="M74" s="2">
        <v>7400565</v>
      </c>
      <c r="N74" s="2">
        <v>10126342</v>
      </c>
      <c r="O74" s="2">
        <v>6324309</v>
      </c>
      <c r="P74" s="2">
        <v>1159922</v>
      </c>
      <c r="Q74" s="2">
        <v>970434</v>
      </c>
    </row>
    <row r="75" spans="1:17" x14ac:dyDescent="0.25">
      <c r="A75" t="s">
        <v>3426</v>
      </c>
      <c r="B75" t="s">
        <v>3427</v>
      </c>
      <c r="C75" s="1">
        <v>41275</v>
      </c>
      <c r="D75" s="1">
        <v>41639</v>
      </c>
      <c r="E75" t="s">
        <v>3428</v>
      </c>
      <c r="G75" t="s">
        <v>1560</v>
      </c>
      <c r="H75" t="s">
        <v>21</v>
      </c>
      <c r="I75" t="str">
        <f>"46601"</f>
        <v>46601</v>
      </c>
      <c r="J75" t="s">
        <v>22</v>
      </c>
      <c r="K75" t="s">
        <v>23</v>
      </c>
      <c r="L75" s="2">
        <v>108634560</v>
      </c>
      <c r="M75" s="2">
        <v>22959607</v>
      </c>
      <c r="N75" s="2">
        <v>0</v>
      </c>
      <c r="O75" s="2">
        <v>6058884</v>
      </c>
      <c r="P75" t="s">
        <v>24</v>
      </c>
      <c r="Q75" t="s">
        <v>24</v>
      </c>
    </row>
    <row r="76" spans="1:17" x14ac:dyDescent="0.25">
      <c r="A76" t="s">
        <v>7410</v>
      </c>
      <c r="B76" t="s">
        <v>7411</v>
      </c>
      <c r="C76" s="1">
        <v>41275</v>
      </c>
      <c r="D76" s="1">
        <v>41639</v>
      </c>
      <c r="E76" t="s">
        <v>7412</v>
      </c>
      <c r="G76" t="s">
        <v>1965</v>
      </c>
      <c r="H76" t="s">
        <v>47</v>
      </c>
      <c r="I76" t="str">
        <f>"48170"</f>
        <v>48170</v>
      </c>
      <c r="J76" t="s">
        <v>22</v>
      </c>
      <c r="K76" t="s">
        <v>30</v>
      </c>
      <c r="L76" s="2">
        <v>107912883</v>
      </c>
      <c r="M76" s="2">
        <v>1855151</v>
      </c>
      <c r="N76" s="2">
        <v>62772129</v>
      </c>
      <c r="O76" s="2">
        <v>6685057</v>
      </c>
      <c r="P76" t="s">
        <v>24</v>
      </c>
      <c r="Q76" t="s">
        <v>24</v>
      </c>
    </row>
    <row r="77" spans="1:17" x14ac:dyDescent="0.25">
      <c r="A77" t="s">
        <v>6520</v>
      </c>
      <c r="B77" t="s">
        <v>6521</v>
      </c>
      <c r="C77" s="1">
        <v>41275</v>
      </c>
      <c r="D77" s="1">
        <v>41639</v>
      </c>
      <c r="E77" t="s">
        <v>6522</v>
      </c>
      <c r="F77" t="s">
        <v>6523</v>
      </c>
      <c r="G77" t="s">
        <v>337</v>
      </c>
      <c r="H77" t="s">
        <v>62</v>
      </c>
      <c r="I77" t="str">
        <f>"44116"</f>
        <v>44116</v>
      </c>
      <c r="J77" t="s">
        <v>63</v>
      </c>
      <c r="K77" t="s">
        <v>6524</v>
      </c>
      <c r="L77" s="2">
        <v>103555410</v>
      </c>
      <c r="M77" s="2">
        <v>11523192</v>
      </c>
      <c r="N77" s="2">
        <v>13571274</v>
      </c>
      <c r="O77" s="2">
        <v>4378911</v>
      </c>
      <c r="P77" s="2">
        <v>467305</v>
      </c>
      <c r="Q77" s="2">
        <v>660665</v>
      </c>
    </row>
    <row r="78" spans="1:17" x14ac:dyDescent="0.25">
      <c r="A78" t="s">
        <v>5115</v>
      </c>
      <c r="B78" t="s">
        <v>5116</v>
      </c>
      <c r="C78" s="1">
        <v>41275</v>
      </c>
      <c r="D78" s="1">
        <v>41639</v>
      </c>
      <c r="E78" t="s">
        <v>5117</v>
      </c>
      <c r="G78" t="s">
        <v>258</v>
      </c>
      <c r="H78" t="s">
        <v>62</v>
      </c>
      <c r="I78" t="str">
        <f>"44501"</f>
        <v>44501</v>
      </c>
      <c r="J78" t="s">
        <v>63</v>
      </c>
      <c r="K78" t="s">
        <v>64</v>
      </c>
      <c r="L78" s="2">
        <v>102818799</v>
      </c>
      <c r="M78" s="2">
        <v>11141073</v>
      </c>
      <c r="N78" s="2">
        <v>0</v>
      </c>
      <c r="O78" s="2">
        <v>4253908</v>
      </c>
      <c r="P78" s="2">
        <v>478718</v>
      </c>
      <c r="Q78" s="2">
        <v>9288</v>
      </c>
    </row>
    <row r="79" spans="1:17" x14ac:dyDescent="0.25">
      <c r="A79" t="s">
        <v>7144</v>
      </c>
      <c r="B79" t="s">
        <v>7145</v>
      </c>
      <c r="C79" s="1">
        <v>41275</v>
      </c>
      <c r="D79" s="1">
        <v>41639</v>
      </c>
      <c r="E79" t="s">
        <v>7146</v>
      </c>
      <c r="G79" t="s">
        <v>28</v>
      </c>
      <c r="H79" t="s">
        <v>29</v>
      </c>
      <c r="I79" t="str">
        <f>"60611"</f>
        <v>60611</v>
      </c>
      <c r="J79" t="s">
        <v>22</v>
      </c>
      <c r="K79" t="s">
        <v>23</v>
      </c>
      <c r="L79" s="2">
        <v>102811041</v>
      </c>
      <c r="M79" s="2">
        <v>44904690</v>
      </c>
      <c r="N79" s="2">
        <v>4075</v>
      </c>
      <c r="O79" s="2">
        <v>5623333</v>
      </c>
      <c r="P79" t="s">
        <v>24</v>
      </c>
      <c r="Q79" t="s">
        <v>24</v>
      </c>
    </row>
    <row r="80" spans="1:17" x14ac:dyDescent="0.25">
      <c r="A80" t="s">
        <v>1561</v>
      </c>
      <c r="B80" t="s">
        <v>1562</v>
      </c>
      <c r="C80" s="1">
        <v>41275</v>
      </c>
      <c r="D80" s="1">
        <v>41639</v>
      </c>
      <c r="E80" t="s">
        <v>1563</v>
      </c>
      <c r="G80" t="s">
        <v>337</v>
      </c>
      <c r="H80" t="s">
        <v>62</v>
      </c>
      <c r="I80" t="str">
        <f>"44115"</f>
        <v>44115</v>
      </c>
      <c r="J80" t="s">
        <v>63</v>
      </c>
      <c r="K80" t="s">
        <v>1564</v>
      </c>
      <c r="L80" s="2">
        <v>94090457</v>
      </c>
      <c r="M80" s="2">
        <v>19942959</v>
      </c>
      <c r="N80" s="2">
        <v>80900487</v>
      </c>
      <c r="O80" s="2">
        <v>19031134</v>
      </c>
      <c r="P80" s="2">
        <v>3515978</v>
      </c>
      <c r="Q80" s="2">
        <v>687567</v>
      </c>
    </row>
    <row r="81" spans="1:17" x14ac:dyDescent="0.25">
      <c r="A81" t="s">
        <v>1481</v>
      </c>
      <c r="B81" t="s">
        <v>1482</v>
      </c>
      <c r="C81" s="1">
        <v>41275</v>
      </c>
      <c r="D81" s="1">
        <v>41639</v>
      </c>
      <c r="E81" t="s">
        <v>1483</v>
      </c>
      <c r="G81" t="s">
        <v>337</v>
      </c>
      <c r="H81" t="s">
        <v>62</v>
      </c>
      <c r="I81" t="str">
        <f>"44115"</f>
        <v>44115</v>
      </c>
      <c r="J81" t="s">
        <v>63</v>
      </c>
      <c r="K81" t="s">
        <v>79</v>
      </c>
      <c r="L81" s="2">
        <v>92938192</v>
      </c>
      <c r="M81" s="2">
        <v>4718837</v>
      </c>
      <c r="N81" s="2">
        <v>136578</v>
      </c>
      <c r="O81" s="2">
        <v>4186107</v>
      </c>
      <c r="P81" s="2">
        <v>93149</v>
      </c>
      <c r="Q81" t="s">
        <v>24</v>
      </c>
    </row>
    <row r="82" spans="1:17" x14ac:dyDescent="0.25">
      <c r="A82" t="s">
        <v>5593</v>
      </c>
      <c r="B82" t="s">
        <v>5594</v>
      </c>
      <c r="C82" s="1">
        <v>41275</v>
      </c>
      <c r="D82" s="1">
        <v>41639</v>
      </c>
      <c r="E82" t="s">
        <v>5595</v>
      </c>
      <c r="G82" t="s">
        <v>5596</v>
      </c>
      <c r="H82" t="s">
        <v>29</v>
      </c>
      <c r="I82" t="str">
        <f>"60064"</f>
        <v>60064</v>
      </c>
      <c r="J82" t="s">
        <v>22</v>
      </c>
      <c r="K82" t="s">
        <v>23</v>
      </c>
      <c r="L82" s="2">
        <v>91576917</v>
      </c>
      <c r="M82" s="2">
        <v>41664160</v>
      </c>
      <c r="N82" s="2">
        <v>803061</v>
      </c>
      <c r="O82" s="2">
        <v>8476638</v>
      </c>
      <c r="P82" t="s">
        <v>24</v>
      </c>
      <c r="Q82" t="s">
        <v>24</v>
      </c>
    </row>
    <row r="83" spans="1:17" x14ac:dyDescent="0.25">
      <c r="A83" t="s">
        <v>5059</v>
      </c>
      <c r="B83" t="s">
        <v>5060</v>
      </c>
      <c r="C83" s="1">
        <v>41275</v>
      </c>
      <c r="D83" s="1">
        <v>41639</v>
      </c>
      <c r="E83" t="s">
        <v>1496</v>
      </c>
      <c r="G83" t="s">
        <v>167</v>
      </c>
      <c r="H83" t="s">
        <v>62</v>
      </c>
      <c r="I83" t="str">
        <f>"45263"</f>
        <v>45263</v>
      </c>
      <c r="J83" t="s">
        <v>22</v>
      </c>
      <c r="K83" t="s">
        <v>30</v>
      </c>
      <c r="L83" s="2">
        <v>90237159</v>
      </c>
      <c r="M83" s="2">
        <v>33555983</v>
      </c>
      <c r="N83" s="2">
        <v>0</v>
      </c>
      <c r="O83" s="2">
        <v>5647053</v>
      </c>
      <c r="P83" t="s">
        <v>24</v>
      </c>
      <c r="Q83" t="s">
        <v>24</v>
      </c>
    </row>
    <row r="84" spans="1:17" x14ac:dyDescent="0.25">
      <c r="A84" t="s">
        <v>7343</v>
      </c>
      <c r="B84" t="s">
        <v>7344</v>
      </c>
      <c r="C84" s="1">
        <v>41275</v>
      </c>
      <c r="D84" s="1">
        <v>41639</v>
      </c>
      <c r="E84" t="s">
        <v>7345</v>
      </c>
      <c r="G84" t="s">
        <v>139</v>
      </c>
      <c r="H84" t="s">
        <v>47</v>
      </c>
      <c r="I84" t="str">
        <f>"49506"</f>
        <v>49506</v>
      </c>
      <c r="J84" t="s">
        <v>22</v>
      </c>
      <c r="K84" t="s">
        <v>30</v>
      </c>
      <c r="L84" s="2">
        <v>90086405</v>
      </c>
      <c r="M84" s="2">
        <v>94917</v>
      </c>
      <c r="N84" s="2">
        <v>0</v>
      </c>
      <c r="O84" s="2">
        <v>85167</v>
      </c>
      <c r="P84" t="s">
        <v>24</v>
      </c>
      <c r="Q84" t="s">
        <v>24</v>
      </c>
    </row>
    <row r="85" spans="1:17" x14ac:dyDescent="0.25">
      <c r="A85" t="s">
        <v>1685</v>
      </c>
      <c r="B85" t="s">
        <v>1686</v>
      </c>
      <c r="C85" s="1">
        <v>41456</v>
      </c>
      <c r="D85" s="1">
        <v>41820</v>
      </c>
      <c r="E85" t="s">
        <v>1687</v>
      </c>
      <c r="F85" t="s">
        <v>1688</v>
      </c>
      <c r="G85" t="s">
        <v>741</v>
      </c>
      <c r="H85" t="s">
        <v>42</v>
      </c>
      <c r="I85" t="str">
        <f>"54303"</f>
        <v>54303</v>
      </c>
      <c r="J85" t="s">
        <v>63</v>
      </c>
      <c r="K85" t="s">
        <v>64</v>
      </c>
      <c r="L85" s="2">
        <v>89774415</v>
      </c>
      <c r="M85" s="2">
        <v>11167147</v>
      </c>
      <c r="N85" s="2">
        <v>28357532</v>
      </c>
      <c r="O85" s="2">
        <v>5260830</v>
      </c>
      <c r="P85" s="2">
        <v>920352</v>
      </c>
      <c r="Q85" s="2">
        <v>195187</v>
      </c>
    </row>
    <row r="86" spans="1:17" x14ac:dyDescent="0.25">
      <c r="A86" t="s">
        <v>7298</v>
      </c>
      <c r="B86" t="s">
        <v>7299</v>
      </c>
      <c r="C86" s="1">
        <v>41275</v>
      </c>
      <c r="D86" s="1">
        <v>41639</v>
      </c>
      <c r="E86" t="s">
        <v>7300</v>
      </c>
      <c r="G86" t="s">
        <v>1818</v>
      </c>
      <c r="H86" t="s">
        <v>62</v>
      </c>
      <c r="I86" t="str">
        <f>"44236"</f>
        <v>44236</v>
      </c>
      <c r="J86" t="s">
        <v>22</v>
      </c>
      <c r="K86" t="s">
        <v>30</v>
      </c>
      <c r="L86" s="2">
        <v>88451442</v>
      </c>
      <c r="M86" s="2">
        <v>35862884</v>
      </c>
      <c r="N86" s="2">
        <v>1677</v>
      </c>
      <c r="O86" s="2">
        <v>4319568</v>
      </c>
      <c r="P86" t="s">
        <v>24</v>
      </c>
      <c r="Q86" t="s">
        <v>24</v>
      </c>
    </row>
    <row r="87" spans="1:17" x14ac:dyDescent="0.25">
      <c r="A87" t="s">
        <v>3811</v>
      </c>
      <c r="B87" t="s">
        <v>3812</v>
      </c>
      <c r="C87" s="1">
        <v>41275</v>
      </c>
      <c r="D87" s="1">
        <v>41639</v>
      </c>
      <c r="E87" t="s">
        <v>3813</v>
      </c>
      <c r="G87" t="s">
        <v>3814</v>
      </c>
      <c r="H87" t="s">
        <v>62</v>
      </c>
      <c r="I87" t="str">
        <f>"45439"</f>
        <v>45439</v>
      </c>
      <c r="J87" t="s">
        <v>22</v>
      </c>
      <c r="K87" t="s">
        <v>30</v>
      </c>
      <c r="L87" s="2">
        <v>88008304</v>
      </c>
      <c r="M87" s="2">
        <v>33854921</v>
      </c>
      <c r="N87" s="2">
        <v>42272</v>
      </c>
      <c r="O87" s="2">
        <v>3748857</v>
      </c>
      <c r="P87" t="s">
        <v>24</v>
      </c>
      <c r="Q87" t="s">
        <v>24</v>
      </c>
    </row>
    <row r="88" spans="1:17" x14ac:dyDescent="0.25">
      <c r="A88" t="s">
        <v>1471</v>
      </c>
      <c r="B88" t="s">
        <v>1472</v>
      </c>
      <c r="C88" s="1">
        <v>41456</v>
      </c>
      <c r="D88" s="1">
        <v>41820</v>
      </c>
      <c r="E88" t="s">
        <v>1473</v>
      </c>
      <c r="G88" t="s">
        <v>843</v>
      </c>
      <c r="H88" t="s">
        <v>29</v>
      </c>
      <c r="I88" t="str">
        <f>"61107"</f>
        <v>61107</v>
      </c>
      <c r="J88" t="s">
        <v>63</v>
      </c>
      <c r="K88" t="s">
        <v>79</v>
      </c>
      <c r="L88" s="2">
        <v>87569496</v>
      </c>
      <c r="M88" s="2">
        <v>5661985</v>
      </c>
      <c r="N88" s="2">
        <v>8782164</v>
      </c>
      <c r="O88" s="2">
        <v>5126389</v>
      </c>
      <c r="P88" s="2">
        <v>913461</v>
      </c>
      <c r="Q88" s="2">
        <v>167084</v>
      </c>
    </row>
    <row r="89" spans="1:17" x14ac:dyDescent="0.25">
      <c r="A89" t="s">
        <v>4832</v>
      </c>
      <c r="B89" t="s">
        <v>4833</v>
      </c>
      <c r="C89" s="1">
        <v>41091</v>
      </c>
      <c r="D89" s="1">
        <v>41455</v>
      </c>
      <c r="E89" t="s">
        <v>4834</v>
      </c>
      <c r="F89" t="s">
        <v>4835</v>
      </c>
      <c r="G89" t="s">
        <v>3679</v>
      </c>
      <c r="H89" t="s">
        <v>42</v>
      </c>
      <c r="I89" t="str">
        <f>"54902"</f>
        <v>54902</v>
      </c>
      <c r="J89" t="s">
        <v>63</v>
      </c>
      <c r="K89" t="s">
        <v>64</v>
      </c>
      <c r="L89" s="2">
        <v>87475004</v>
      </c>
      <c r="M89" s="2">
        <v>7271030</v>
      </c>
      <c r="N89" s="2">
        <v>32475193</v>
      </c>
      <c r="O89" s="2">
        <v>4707217</v>
      </c>
      <c r="P89" s="2">
        <v>448614</v>
      </c>
      <c r="Q89" s="2">
        <v>201518</v>
      </c>
    </row>
    <row r="90" spans="1:17" x14ac:dyDescent="0.25">
      <c r="A90" t="s">
        <v>2070</v>
      </c>
      <c r="B90" t="s">
        <v>2071</v>
      </c>
      <c r="C90" s="1">
        <v>41275</v>
      </c>
      <c r="D90" s="1">
        <v>41639</v>
      </c>
      <c r="E90" t="s">
        <v>2072</v>
      </c>
      <c r="F90" t="s">
        <v>2073</v>
      </c>
      <c r="G90" t="s">
        <v>2074</v>
      </c>
      <c r="H90" t="s">
        <v>29</v>
      </c>
      <c r="I90" t="str">
        <f>"60546"</f>
        <v>60546</v>
      </c>
      <c r="J90" t="s">
        <v>22</v>
      </c>
      <c r="K90" t="s">
        <v>23</v>
      </c>
      <c r="L90" s="2">
        <v>86351877</v>
      </c>
      <c r="M90" s="2">
        <v>31698520</v>
      </c>
      <c r="N90" s="2">
        <v>6583000</v>
      </c>
      <c r="O90" s="2">
        <v>30429792</v>
      </c>
      <c r="P90" t="s">
        <v>24</v>
      </c>
      <c r="Q90" t="s">
        <v>24</v>
      </c>
    </row>
    <row r="91" spans="1:17" x14ac:dyDescent="0.25">
      <c r="A91" t="s">
        <v>6963</v>
      </c>
      <c r="B91" t="s">
        <v>6964</v>
      </c>
      <c r="C91" s="1">
        <v>41275</v>
      </c>
      <c r="D91" s="1">
        <v>41639</v>
      </c>
      <c r="E91" t="s">
        <v>6965</v>
      </c>
      <c r="G91" t="s">
        <v>5487</v>
      </c>
      <c r="H91" t="s">
        <v>62</v>
      </c>
      <c r="I91" t="str">
        <f>"45011"</f>
        <v>45011</v>
      </c>
      <c r="J91" t="s">
        <v>63</v>
      </c>
      <c r="K91" t="s">
        <v>64</v>
      </c>
      <c r="L91" s="2">
        <v>86308700</v>
      </c>
      <c r="M91" s="2">
        <v>9783966</v>
      </c>
      <c r="N91" s="2">
        <v>2194161</v>
      </c>
      <c r="O91" s="2">
        <v>6847056</v>
      </c>
      <c r="P91" s="2">
        <v>650143</v>
      </c>
      <c r="Q91" s="2">
        <v>153752</v>
      </c>
    </row>
    <row r="92" spans="1:17" x14ac:dyDescent="0.25">
      <c r="A92" t="s">
        <v>6591</v>
      </c>
      <c r="B92" t="s">
        <v>6592</v>
      </c>
      <c r="C92" s="1">
        <v>41275</v>
      </c>
      <c r="D92" s="1">
        <v>41639</v>
      </c>
      <c r="E92" t="s">
        <v>6593</v>
      </c>
      <c r="G92" t="s">
        <v>401</v>
      </c>
      <c r="H92" t="s">
        <v>47</v>
      </c>
      <c r="I92" t="str">
        <f>"48640"</f>
        <v>48640</v>
      </c>
      <c r="J92" t="s">
        <v>63</v>
      </c>
      <c r="K92" t="s">
        <v>64</v>
      </c>
      <c r="L92" s="2">
        <v>85584180</v>
      </c>
      <c r="M92" s="2">
        <v>13264971</v>
      </c>
      <c r="N92" s="2">
        <v>2032808</v>
      </c>
      <c r="O92" s="2">
        <v>5254672</v>
      </c>
      <c r="P92" s="2">
        <v>484346</v>
      </c>
      <c r="Q92" s="2">
        <v>132960</v>
      </c>
    </row>
    <row r="93" spans="1:17" x14ac:dyDescent="0.25">
      <c r="A93" t="s">
        <v>3763</v>
      </c>
      <c r="B93" t="s">
        <v>3764</v>
      </c>
      <c r="C93" s="1">
        <v>41091</v>
      </c>
      <c r="D93" s="1">
        <v>41455</v>
      </c>
      <c r="E93" t="s">
        <v>3765</v>
      </c>
      <c r="F93" t="s">
        <v>3766</v>
      </c>
      <c r="G93" t="s">
        <v>167</v>
      </c>
      <c r="H93" t="s">
        <v>62</v>
      </c>
      <c r="I93" t="str">
        <f>"45236"</f>
        <v>45236</v>
      </c>
      <c r="J93" t="s">
        <v>22</v>
      </c>
      <c r="K93" t="s">
        <v>23</v>
      </c>
      <c r="L93" s="2">
        <v>84538665</v>
      </c>
      <c r="M93" s="2">
        <v>13852760</v>
      </c>
      <c r="N93" s="2">
        <v>45441</v>
      </c>
      <c r="O93" s="2">
        <v>2557626</v>
      </c>
      <c r="P93" t="s">
        <v>24</v>
      </c>
      <c r="Q93" t="s">
        <v>24</v>
      </c>
    </row>
    <row r="94" spans="1:17" x14ac:dyDescent="0.25">
      <c r="A94" t="s">
        <v>168</v>
      </c>
      <c r="B94" t="s">
        <v>169</v>
      </c>
      <c r="C94" s="1">
        <v>41275</v>
      </c>
      <c r="D94" s="1">
        <v>41639</v>
      </c>
      <c r="E94" t="s">
        <v>170</v>
      </c>
      <c r="F94" t="s">
        <v>171</v>
      </c>
      <c r="G94" t="s">
        <v>172</v>
      </c>
      <c r="H94" t="s">
        <v>47</v>
      </c>
      <c r="I94" t="str">
        <f>"49412"</f>
        <v>49412</v>
      </c>
      <c r="J94" t="s">
        <v>22</v>
      </c>
      <c r="K94" t="s">
        <v>30</v>
      </c>
      <c r="L94" s="2">
        <v>83693345</v>
      </c>
      <c r="M94" s="2">
        <v>61121768</v>
      </c>
      <c r="N94" s="2">
        <v>0</v>
      </c>
      <c r="O94" s="2">
        <v>4116348</v>
      </c>
      <c r="P94" t="s">
        <v>24</v>
      </c>
      <c r="Q94" t="s">
        <v>24</v>
      </c>
    </row>
    <row r="95" spans="1:17" x14ac:dyDescent="0.25">
      <c r="A95" t="s">
        <v>7113</v>
      </c>
      <c r="B95" t="s">
        <v>7114</v>
      </c>
      <c r="C95" s="1">
        <v>41275</v>
      </c>
      <c r="D95" s="1">
        <v>41639</v>
      </c>
      <c r="E95" t="s">
        <v>7115</v>
      </c>
      <c r="G95" t="s">
        <v>357</v>
      </c>
      <c r="H95" t="s">
        <v>21</v>
      </c>
      <c r="I95" t="str">
        <f>"46825"</f>
        <v>46825</v>
      </c>
      <c r="J95" t="s">
        <v>63</v>
      </c>
      <c r="K95" t="s">
        <v>30</v>
      </c>
      <c r="L95" s="2">
        <v>82474346</v>
      </c>
      <c r="M95" s="2">
        <v>11994744</v>
      </c>
      <c r="N95" s="2">
        <v>16175</v>
      </c>
      <c r="O95" s="2">
        <v>2284195</v>
      </c>
      <c r="P95" s="2">
        <v>81855</v>
      </c>
      <c r="Q95" t="s">
        <v>24</v>
      </c>
    </row>
    <row r="96" spans="1:17" x14ac:dyDescent="0.25">
      <c r="A96" t="s">
        <v>7434</v>
      </c>
      <c r="B96" t="s">
        <v>7435</v>
      </c>
      <c r="C96" s="1">
        <v>41275</v>
      </c>
      <c r="D96" s="1">
        <v>41639</v>
      </c>
      <c r="E96" t="s">
        <v>7436</v>
      </c>
      <c r="G96" t="s">
        <v>1726</v>
      </c>
      <c r="H96" t="s">
        <v>62</v>
      </c>
      <c r="I96" t="str">
        <f>"44481"</f>
        <v>44481</v>
      </c>
      <c r="J96" t="s">
        <v>22</v>
      </c>
      <c r="K96" t="s">
        <v>23</v>
      </c>
      <c r="L96" s="2">
        <v>80350284</v>
      </c>
      <c r="M96" s="2">
        <v>44901012</v>
      </c>
      <c r="N96" s="2">
        <v>1141302</v>
      </c>
      <c r="O96" s="2">
        <v>3973781</v>
      </c>
      <c r="P96" t="s">
        <v>24</v>
      </c>
      <c r="Q96" t="s">
        <v>24</v>
      </c>
    </row>
    <row r="97" spans="1:17" x14ac:dyDescent="0.25">
      <c r="A97" t="s">
        <v>4624</v>
      </c>
      <c r="B97" t="s">
        <v>4625</v>
      </c>
      <c r="C97" s="1">
        <v>41456</v>
      </c>
      <c r="D97" s="1">
        <v>41820</v>
      </c>
      <c r="E97" t="s">
        <v>4626</v>
      </c>
      <c r="G97" t="s">
        <v>41</v>
      </c>
      <c r="H97" t="s">
        <v>42</v>
      </c>
      <c r="I97" t="str">
        <f>"53202"</f>
        <v>53202</v>
      </c>
      <c r="J97" t="s">
        <v>63</v>
      </c>
      <c r="K97" t="s">
        <v>64</v>
      </c>
      <c r="L97" s="2">
        <v>80147489</v>
      </c>
      <c r="M97" s="2">
        <v>2508751</v>
      </c>
      <c r="N97" s="2">
        <v>53482606</v>
      </c>
      <c r="O97" s="2">
        <v>1352096</v>
      </c>
      <c r="P97" s="2">
        <v>373544</v>
      </c>
      <c r="Q97" s="2">
        <v>141439</v>
      </c>
    </row>
    <row r="98" spans="1:17" x14ac:dyDescent="0.25">
      <c r="A98" t="s">
        <v>1609</v>
      </c>
      <c r="B98" t="s">
        <v>1610</v>
      </c>
      <c r="C98" s="1">
        <v>40909</v>
      </c>
      <c r="D98" s="1">
        <v>41274</v>
      </c>
      <c r="E98" t="s">
        <v>1611</v>
      </c>
      <c r="G98" t="s">
        <v>28</v>
      </c>
      <c r="H98" t="s">
        <v>29</v>
      </c>
      <c r="I98" t="str">
        <f>"60611"</f>
        <v>60611</v>
      </c>
      <c r="J98" t="s">
        <v>22</v>
      </c>
      <c r="K98" t="s">
        <v>23</v>
      </c>
      <c r="L98" s="2">
        <v>78833375</v>
      </c>
      <c r="M98" s="2">
        <v>49757330</v>
      </c>
      <c r="N98" s="2">
        <v>2306722</v>
      </c>
      <c r="O98" s="2">
        <v>7088510</v>
      </c>
      <c r="P98" t="s">
        <v>24</v>
      </c>
      <c r="Q98" t="s">
        <v>24</v>
      </c>
    </row>
    <row r="99" spans="1:17" x14ac:dyDescent="0.25">
      <c r="A99" t="s">
        <v>7173</v>
      </c>
      <c r="B99" t="s">
        <v>7174</v>
      </c>
      <c r="C99" s="1">
        <v>41275</v>
      </c>
      <c r="D99" s="1">
        <v>41639</v>
      </c>
      <c r="E99" t="s">
        <v>7175</v>
      </c>
      <c r="G99" t="s">
        <v>710</v>
      </c>
      <c r="H99" t="s">
        <v>78</v>
      </c>
      <c r="I99" t="str">
        <f>"42002"</f>
        <v>42002</v>
      </c>
      <c r="J99" t="s">
        <v>22</v>
      </c>
      <c r="K99" t="s">
        <v>23</v>
      </c>
      <c r="L99" s="2">
        <v>78599970</v>
      </c>
      <c r="M99" s="2">
        <v>40378854</v>
      </c>
      <c r="N99" s="2">
        <v>0</v>
      </c>
      <c r="O99" s="2">
        <v>4645176</v>
      </c>
      <c r="P99" t="s">
        <v>24</v>
      </c>
      <c r="Q99" t="s">
        <v>24</v>
      </c>
    </row>
    <row r="100" spans="1:17" x14ac:dyDescent="0.25">
      <c r="A100" t="s">
        <v>1966</v>
      </c>
      <c r="B100" t="s">
        <v>1967</v>
      </c>
      <c r="C100" s="1">
        <v>41275</v>
      </c>
      <c r="D100" s="1">
        <v>41639</v>
      </c>
      <c r="E100" t="s">
        <v>1968</v>
      </c>
      <c r="G100" t="s">
        <v>1339</v>
      </c>
      <c r="H100" t="s">
        <v>62</v>
      </c>
      <c r="I100" t="str">
        <f>"45373"</f>
        <v>45373</v>
      </c>
      <c r="J100" t="s">
        <v>63</v>
      </c>
      <c r="K100" t="s">
        <v>64</v>
      </c>
      <c r="L100" s="2">
        <v>77775402</v>
      </c>
      <c r="M100" s="2">
        <v>7970078</v>
      </c>
      <c r="N100" s="2">
        <v>4675205</v>
      </c>
      <c r="O100" s="2">
        <v>3724325</v>
      </c>
      <c r="P100" s="2">
        <v>465687</v>
      </c>
      <c r="Q100" s="2">
        <v>24682</v>
      </c>
    </row>
    <row r="101" spans="1:17" x14ac:dyDescent="0.25">
      <c r="A101" t="s">
        <v>6586</v>
      </c>
      <c r="B101" t="s">
        <v>6587</v>
      </c>
      <c r="C101" s="1">
        <v>40909</v>
      </c>
      <c r="D101" s="1">
        <v>41274</v>
      </c>
      <c r="E101" t="s">
        <v>6588</v>
      </c>
      <c r="G101" t="s">
        <v>3093</v>
      </c>
      <c r="H101" t="s">
        <v>29</v>
      </c>
      <c r="I101" t="str">
        <f>"60506"</f>
        <v>60506</v>
      </c>
      <c r="J101" t="s">
        <v>22</v>
      </c>
      <c r="K101" t="s">
        <v>30</v>
      </c>
      <c r="L101" s="2">
        <v>76764979</v>
      </c>
      <c r="M101" s="2">
        <v>26066771</v>
      </c>
      <c r="N101" s="2">
        <v>0</v>
      </c>
      <c r="O101" s="2">
        <v>3282530</v>
      </c>
      <c r="P101" t="s">
        <v>24</v>
      </c>
      <c r="Q101" t="s">
        <v>24</v>
      </c>
    </row>
    <row r="102" spans="1:17" x14ac:dyDescent="0.25">
      <c r="A102" t="s">
        <v>694</v>
      </c>
      <c r="B102" t="s">
        <v>695</v>
      </c>
      <c r="C102" s="1">
        <v>41275</v>
      </c>
      <c r="D102" s="1">
        <v>41639</v>
      </c>
      <c r="E102" t="s">
        <v>696</v>
      </c>
      <c r="G102" t="s">
        <v>160</v>
      </c>
      <c r="H102" t="s">
        <v>78</v>
      </c>
      <c r="I102" t="str">
        <f>"40522"</f>
        <v>40522</v>
      </c>
      <c r="J102" t="s">
        <v>22</v>
      </c>
      <c r="K102" t="s">
        <v>30</v>
      </c>
      <c r="L102" s="2">
        <v>75673702</v>
      </c>
      <c r="M102" s="2">
        <v>3843091</v>
      </c>
      <c r="N102" s="2">
        <v>0</v>
      </c>
      <c r="O102" s="2">
        <v>3764519</v>
      </c>
      <c r="P102" t="s">
        <v>24</v>
      </c>
      <c r="Q102" t="s">
        <v>24</v>
      </c>
    </row>
    <row r="103" spans="1:17" x14ac:dyDescent="0.25">
      <c r="A103" t="s">
        <v>6933</v>
      </c>
      <c r="B103" t="s">
        <v>6934</v>
      </c>
      <c r="C103" s="1">
        <v>41275</v>
      </c>
      <c r="D103" s="1">
        <v>41639</v>
      </c>
      <c r="E103" t="s">
        <v>6935</v>
      </c>
      <c r="G103" t="s">
        <v>6936</v>
      </c>
      <c r="H103" t="s">
        <v>62</v>
      </c>
      <c r="I103" t="str">
        <f>"45840"</f>
        <v>45840</v>
      </c>
      <c r="J103" t="s">
        <v>63</v>
      </c>
      <c r="K103" t="s">
        <v>64</v>
      </c>
      <c r="L103" s="2">
        <v>75624226</v>
      </c>
      <c r="M103" s="2">
        <v>9497274</v>
      </c>
      <c r="N103" s="2">
        <v>12474114</v>
      </c>
      <c r="O103" s="2">
        <v>4100669</v>
      </c>
      <c r="P103" s="2">
        <v>439844</v>
      </c>
      <c r="Q103" s="2">
        <v>392661</v>
      </c>
    </row>
    <row r="104" spans="1:17" x14ac:dyDescent="0.25">
      <c r="A104" t="s">
        <v>4908</v>
      </c>
      <c r="B104" t="s">
        <v>4909</v>
      </c>
      <c r="C104" s="1">
        <v>41275</v>
      </c>
      <c r="D104" s="1">
        <v>41639</v>
      </c>
      <c r="E104" t="s">
        <v>4910</v>
      </c>
      <c r="G104" t="s">
        <v>28</v>
      </c>
      <c r="H104" t="s">
        <v>29</v>
      </c>
      <c r="I104" t="str">
        <f>"60680"</f>
        <v>60680</v>
      </c>
      <c r="J104" t="s">
        <v>22</v>
      </c>
      <c r="K104" t="s">
        <v>91</v>
      </c>
      <c r="L104" s="2">
        <v>75602985</v>
      </c>
      <c r="M104" s="2">
        <v>1810127</v>
      </c>
      <c r="N104" s="2">
        <v>2085092</v>
      </c>
      <c r="O104" s="2">
        <v>2350516</v>
      </c>
      <c r="P104" t="s">
        <v>24</v>
      </c>
      <c r="Q104" t="s">
        <v>24</v>
      </c>
    </row>
    <row r="105" spans="1:17" x14ac:dyDescent="0.25">
      <c r="A105" t="s">
        <v>1509</v>
      </c>
      <c r="B105" t="s">
        <v>1510</v>
      </c>
      <c r="C105" s="1">
        <v>41275</v>
      </c>
      <c r="D105" s="1">
        <v>41639</v>
      </c>
      <c r="E105" t="s">
        <v>1511</v>
      </c>
      <c r="F105" t="s">
        <v>1512</v>
      </c>
      <c r="G105" t="s">
        <v>1028</v>
      </c>
      <c r="H105" t="s">
        <v>47</v>
      </c>
      <c r="I105" t="str">
        <f>"48104"</f>
        <v>48104</v>
      </c>
      <c r="J105" t="s">
        <v>63</v>
      </c>
      <c r="K105" t="s">
        <v>64</v>
      </c>
      <c r="L105" s="2">
        <v>75565322</v>
      </c>
      <c r="M105" s="2">
        <v>7988128</v>
      </c>
      <c r="N105" s="2">
        <v>1130547</v>
      </c>
      <c r="O105" s="2">
        <v>4338193</v>
      </c>
      <c r="P105" s="2">
        <v>479150</v>
      </c>
      <c r="Q105" s="2">
        <v>503385</v>
      </c>
    </row>
    <row r="106" spans="1:17" x14ac:dyDescent="0.25">
      <c r="A106" t="s">
        <v>5247</v>
      </c>
      <c r="B106" t="s">
        <v>5248</v>
      </c>
      <c r="C106" s="1">
        <v>41275</v>
      </c>
      <c r="D106" s="1">
        <v>41639</v>
      </c>
      <c r="E106" t="s">
        <v>5249</v>
      </c>
      <c r="G106" t="s">
        <v>4695</v>
      </c>
      <c r="H106" t="s">
        <v>62</v>
      </c>
      <c r="I106" t="str">
        <f>"45040"</f>
        <v>45040</v>
      </c>
      <c r="J106" t="s">
        <v>22</v>
      </c>
      <c r="K106" t="s">
        <v>30</v>
      </c>
      <c r="L106" s="2">
        <v>74514777</v>
      </c>
      <c r="M106" s="2">
        <v>12171708</v>
      </c>
      <c r="N106" s="2">
        <v>0</v>
      </c>
      <c r="O106" s="2">
        <v>2918445</v>
      </c>
      <c r="P106" t="s">
        <v>24</v>
      </c>
      <c r="Q106" t="s">
        <v>24</v>
      </c>
    </row>
    <row r="107" spans="1:17" x14ac:dyDescent="0.25">
      <c r="A107" t="s">
        <v>3461</v>
      </c>
      <c r="B107" t="s">
        <v>3462</v>
      </c>
      <c r="C107" s="1">
        <v>41548</v>
      </c>
      <c r="D107" s="1">
        <v>41912</v>
      </c>
      <c r="E107" t="s">
        <v>1614</v>
      </c>
      <c r="G107" t="s">
        <v>28</v>
      </c>
      <c r="H107" t="s">
        <v>29</v>
      </c>
      <c r="I107" t="str">
        <f>"60603"</f>
        <v>60603</v>
      </c>
      <c r="J107" t="s">
        <v>22</v>
      </c>
      <c r="K107" t="s">
        <v>23</v>
      </c>
      <c r="L107" s="2">
        <v>73789573</v>
      </c>
      <c r="M107" s="2">
        <v>42643402</v>
      </c>
      <c r="N107" s="2">
        <v>50100</v>
      </c>
      <c r="O107" s="2">
        <v>9278658</v>
      </c>
      <c r="P107" t="s">
        <v>24</v>
      </c>
      <c r="Q107" t="s">
        <v>24</v>
      </c>
    </row>
    <row r="108" spans="1:17" x14ac:dyDescent="0.25">
      <c r="A108" t="s">
        <v>3379</v>
      </c>
      <c r="B108" t="s">
        <v>3380</v>
      </c>
      <c r="C108" s="1">
        <v>39814</v>
      </c>
      <c r="D108" s="1">
        <v>40178</v>
      </c>
      <c r="E108" t="s">
        <v>3381</v>
      </c>
      <c r="G108" t="s">
        <v>2846</v>
      </c>
      <c r="H108" t="s">
        <v>47</v>
      </c>
      <c r="I108" t="str">
        <f>"48112"</f>
        <v>48112</v>
      </c>
      <c r="J108" t="s">
        <v>22</v>
      </c>
      <c r="K108" t="s">
        <v>91</v>
      </c>
      <c r="L108" s="2">
        <v>72281329</v>
      </c>
      <c r="M108" s="2">
        <v>4262088</v>
      </c>
      <c r="N108" s="2">
        <v>0</v>
      </c>
      <c r="O108" s="2">
        <v>3721091</v>
      </c>
      <c r="P108" t="s">
        <v>24</v>
      </c>
      <c r="Q108" t="s">
        <v>24</v>
      </c>
    </row>
    <row r="109" spans="1:17" x14ac:dyDescent="0.25">
      <c r="A109" t="s">
        <v>156</v>
      </c>
      <c r="B109" t="s">
        <v>157</v>
      </c>
      <c r="C109" s="1">
        <v>41456</v>
      </c>
      <c r="D109" s="1">
        <v>41820</v>
      </c>
      <c r="E109" t="s">
        <v>158</v>
      </c>
      <c r="F109" t="s">
        <v>159</v>
      </c>
      <c r="G109" t="s">
        <v>160</v>
      </c>
      <c r="H109" t="s">
        <v>78</v>
      </c>
      <c r="I109" t="str">
        <f>"40507"</f>
        <v>40507</v>
      </c>
      <c r="J109" t="s">
        <v>63</v>
      </c>
      <c r="K109" t="s">
        <v>64</v>
      </c>
      <c r="L109" s="2">
        <v>72228769</v>
      </c>
      <c r="M109" s="2">
        <v>21005818</v>
      </c>
      <c r="N109" s="2">
        <v>9497667</v>
      </c>
      <c r="O109" s="2">
        <v>19519672</v>
      </c>
      <c r="P109" s="2">
        <v>411687</v>
      </c>
      <c r="Q109" s="2">
        <v>38755</v>
      </c>
    </row>
    <row r="110" spans="1:17" x14ac:dyDescent="0.25">
      <c r="A110" t="s">
        <v>1935</v>
      </c>
      <c r="B110" t="s">
        <v>1936</v>
      </c>
      <c r="C110" s="1">
        <v>41275</v>
      </c>
      <c r="D110" s="1">
        <v>41639</v>
      </c>
      <c r="E110" t="s">
        <v>1937</v>
      </c>
      <c r="G110" t="s">
        <v>28</v>
      </c>
      <c r="H110" t="s">
        <v>29</v>
      </c>
      <c r="I110" t="str">
        <f>"60606"</f>
        <v>60606</v>
      </c>
      <c r="J110" t="s">
        <v>22</v>
      </c>
      <c r="K110" t="s">
        <v>30</v>
      </c>
      <c r="L110" s="2">
        <v>71931873</v>
      </c>
      <c r="M110" s="2">
        <v>15318538</v>
      </c>
      <c r="N110" s="2">
        <v>0</v>
      </c>
      <c r="O110" s="2">
        <v>3392572</v>
      </c>
      <c r="P110" t="s">
        <v>24</v>
      </c>
      <c r="Q110" t="s">
        <v>24</v>
      </c>
    </row>
    <row r="111" spans="1:17" x14ac:dyDescent="0.25">
      <c r="A111" t="s">
        <v>3993</v>
      </c>
      <c r="B111" t="s">
        <v>3994</v>
      </c>
      <c r="C111" s="1">
        <v>41275</v>
      </c>
      <c r="D111" s="1">
        <v>41639</v>
      </c>
      <c r="E111" t="s">
        <v>3995</v>
      </c>
      <c r="G111" t="s">
        <v>2358</v>
      </c>
      <c r="H111" t="s">
        <v>21</v>
      </c>
      <c r="I111" t="str">
        <f>"46581"</f>
        <v>46581</v>
      </c>
      <c r="J111" t="s">
        <v>22</v>
      </c>
      <c r="K111" t="s">
        <v>30</v>
      </c>
      <c r="L111" s="2">
        <v>71915313</v>
      </c>
      <c r="M111" s="2">
        <v>50142129</v>
      </c>
      <c r="N111" s="2">
        <v>739236</v>
      </c>
      <c r="O111" s="2">
        <v>3931637</v>
      </c>
      <c r="P111" t="s">
        <v>24</v>
      </c>
      <c r="Q111" t="s">
        <v>24</v>
      </c>
    </row>
    <row r="112" spans="1:17" x14ac:dyDescent="0.25">
      <c r="A112" t="s">
        <v>2800</v>
      </c>
      <c r="B112" t="s">
        <v>2801</v>
      </c>
      <c r="C112" s="1">
        <v>40909</v>
      </c>
      <c r="D112" s="1">
        <v>41274</v>
      </c>
      <c r="E112" t="s">
        <v>2802</v>
      </c>
      <c r="G112" t="s">
        <v>2110</v>
      </c>
      <c r="H112" t="s">
        <v>47</v>
      </c>
      <c r="I112" t="str">
        <f>"48912"</f>
        <v>48912</v>
      </c>
      <c r="J112" t="s">
        <v>63</v>
      </c>
      <c r="K112" t="s">
        <v>64</v>
      </c>
      <c r="L112" s="2">
        <v>71453258</v>
      </c>
      <c r="M112" s="2">
        <v>6166545</v>
      </c>
      <c r="N112" s="2">
        <v>1115857</v>
      </c>
      <c r="O112" s="2">
        <v>3920272</v>
      </c>
      <c r="P112" s="2">
        <v>430257</v>
      </c>
      <c r="Q112" s="2">
        <v>78804</v>
      </c>
    </row>
    <row r="113" spans="1:17" x14ac:dyDescent="0.25">
      <c r="A113" t="s">
        <v>4665</v>
      </c>
      <c r="B113" t="s">
        <v>4666</v>
      </c>
      <c r="C113" s="1">
        <v>41275</v>
      </c>
      <c r="D113" s="1">
        <v>41639</v>
      </c>
      <c r="E113" t="s">
        <v>4667</v>
      </c>
      <c r="G113" t="s">
        <v>139</v>
      </c>
      <c r="H113" t="s">
        <v>47</v>
      </c>
      <c r="I113" t="str">
        <f>"49546"</f>
        <v>49546</v>
      </c>
      <c r="J113" t="s">
        <v>22</v>
      </c>
      <c r="K113" t="s">
        <v>30</v>
      </c>
      <c r="L113" s="2">
        <v>71452584</v>
      </c>
      <c r="M113" s="2">
        <v>2921528</v>
      </c>
      <c r="N113" s="2">
        <v>5414</v>
      </c>
      <c r="O113" s="2">
        <v>4246977</v>
      </c>
      <c r="P113" t="s">
        <v>24</v>
      </c>
      <c r="Q113" t="s">
        <v>24</v>
      </c>
    </row>
    <row r="114" spans="1:17" x14ac:dyDescent="0.25">
      <c r="A114" t="s">
        <v>4360</v>
      </c>
      <c r="B114" t="s">
        <v>4361</v>
      </c>
      <c r="C114" s="1">
        <v>40909</v>
      </c>
      <c r="D114" s="1">
        <v>41274</v>
      </c>
      <c r="E114" t="s">
        <v>4362</v>
      </c>
      <c r="G114" t="s">
        <v>139</v>
      </c>
      <c r="H114" t="s">
        <v>47</v>
      </c>
      <c r="I114" t="str">
        <f>"49546"</f>
        <v>49546</v>
      </c>
      <c r="J114" t="s">
        <v>22</v>
      </c>
      <c r="K114" t="s">
        <v>30</v>
      </c>
      <c r="L114" s="2">
        <v>71413261</v>
      </c>
      <c r="M114" s="2">
        <v>10334499</v>
      </c>
      <c r="N114" s="2">
        <v>18698</v>
      </c>
      <c r="O114" s="2">
        <v>3697454</v>
      </c>
      <c r="P114" t="s">
        <v>24</v>
      </c>
      <c r="Q114" t="s">
        <v>24</v>
      </c>
    </row>
    <row r="115" spans="1:17" x14ac:dyDescent="0.25">
      <c r="A115" t="s">
        <v>3089</v>
      </c>
      <c r="B115" t="s">
        <v>3090</v>
      </c>
      <c r="C115" s="1">
        <v>41275</v>
      </c>
      <c r="D115" s="1">
        <v>41639</v>
      </c>
      <c r="E115" t="s">
        <v>3091</v>
      </c>
      <c r="F115" t="s">
        <v>3092</v>
      </c>
      <c r="G115" t="s">
        <v>3093</v>
      </c>
      <c r="H115" t="s">
        <v>29</v>
      </c>
      <c r="I115" t="str">
        <f>"60506"</f>
        <v>60506</v>
      </c>
      <c r="J115" t="s">
        <v>63</v>
      </c>
      <c r="K115" t="s">
        <v>64</v>
      </c>
      <c r="L115" s="2">
        <v>70995415</v>
      </c>
      <c r="M115" s="2">
        <v>8436887</v>
      </c>
      <c r="N115" s="2">
        <v>109799</v>
      </c>
      <c r="O115" s="2">
        <v>6121215</v>
      </c>
      <c r="P115" s="2">
        <v>778794</v>
      </c>
      <c r="Q115" s="2">
        <v>135005</v>
      </c>
    </row>
    <row r="116" spans="1:17" x14ac:dyDescent="0.25">
      <c r="A116" t="s">
        <v>2040</v>
      </c>
      <c r="B116" t="s">
        <v>2041</v>
      </c>
      <c r="C116" s="1">
        <v>41275</v>
      </c>
      <c r="D116" s="1">
        <v>41639</v>
      </c>
      <c r="E116" t="s">
        <v>2042</v>
      </c>
      <c r="G116" t="s">
        <v>28</v>
      </c>
      <c r="H116" t="s">
        <v>29</v>
      </c>
      <c r="I116" t="str">
        <f>"60611"</f>
        <v>60611</v>
      </c>
      <c r="J116" t="s">
        <v>22</v>
      </c>
      <c r="K116" t="s">
        <v>23</v>
      </c>
      <c r="L116" s="2">
        <v>70423924</v>
      </c>
      <c r="M116" s="2">
        <v>14664377</v>
      </c>
      <c r="N116" s="2">
        <v>0</v>
      </c>
      <c r="O116" s="2">
        <v>8163536</v>
      </c>
      <c r="P116" t="s">
        <v>24</v>
      </c>
      <c r="Q116" t="s">
        <v>24</v>
      </c>
    </row>
    <row r="117" spans="1:17" x14ac:dyDescent="0.25">
      <c r="A117" t="s">
        <v>7553</v>
      </c>
      <c r="B117" t="s">
        <v>7554</v>
      </c>
      <c r="C117" s="1">
        <v>41275</v>
      </c>
      <c r="D117" s="1">
        <v>41639</v>
      </c>
      <c r="E117" t="s">
        <v>7555</v>
      </c>
      <c r="G117" t="s">
        <v>28</v>
      </c>
      <c r="H117" t="s">
        <v>29</v>
      </c>
      <c r="I117" t="str">
        <f>"60602"</f>
        <v>60602</v>
      </c>
      <c r="J117" t="s">
        <v>22</v>
      </c>
      <c r="K117" t="s">
        <v>23</v>
      </c>
      <c r="L117" s="2">
        <v>69929852</v>
      </c>
      <c r="M117" s="2">
        <v>14693070</v>
      </c>
      <c r="N117" s="2">
        <v>147272</v>
      </c>
      <c r="O117" s="2">
        <v>4728619</v>
      </c>
      <c r="P117" t="s">
        <v>24</v>
      </c>
      <c r="Q117" t="s">
        <v>24</v>
      </c>
    </row>
    <row r="118" spans="1:17" x14ac:dyDescent="0.25">
      <c r="A118" t="s">
        <v>7447</v>
      </c>
      <c r="B118" t="s">
        <v>7448</v>
      </c>
      <c r="C118" s="1">
        <v>41275</v>
      </c>
      <c r="D118" s="1">
        <v>41639</v>
      </c>
      <c r="E118" t="s">
        <v>7449</v>
      </c>
      <c r="G118" t="s">
        <v>2785</v>
      </c>
      <c r="H118" t="s">
        <v>62</v>
      </c>
      <c r="I118" t="str">
        <f>"45502"</f>
        <v>45502</v>
      </c>
      <c r="J118" t="s">
        <v>63</v>
      </c>
      <c r="K118" t="s">
        <v>64</v>
      </c>
      <c r="L118" s="2">
        <v>67910614</v>
      </c>
      <c r="M118" s="2">
        <v>3066849</v>
      </c>
      <c r="N118" s="2">
        <v>36408066</v>
      </c>
      <c r="O118" s="2">
        <v>3169178</v>
      </c>
      <c r="P118" s="2">
        <v>175340</v>
      </c>
      <c r="Q118" s="2">
        <v>225237</v>
      </c>
    </row>
    <row r="119" spans="1:17" x14ac:dyDescent="0.25">
      <c r="A119" t="s">
        <v>6437</v>
      </c>
      <c r="B119" t="s">
        <v>6438</v>
      </c>
      <c r="C119" s="1">
        <v>41091</v>
      </c>
      <c r="D119" s="1">
        <v>41455</v>
      </c>
      <c r="E119" t="s">
        <v>6439</v>
      </c>
      <c r="G119" t="s">
        <v>353</v>
      </c>
      <c r="H119" t="s">
        <v>62</v>
      </c>
      <c r="I119" t="str">
        <f>"43229"</f>
        <v>43229</v>
      </c>
      <c r="J119" t="s">
        <v>63</v>
      </c>
      <c r="K119" t="s">
        <v>6440</v>
      </c>
      <c r="L119" s="2">
        <v>67719139</v>
      </c>
      <c r="M119" s="2">
        <v>8390321</v>
      </c>
      <c r="N119" s="2">
        <v>4214630</v>
      </c>
      <c r="O119" s="2">
        <v>3191112</v>
      </c>
      <c r="P119" s="2">
        <v>1307983</v>
      </c>
      <c r="Q119" s="2">
        <v>1883129</v>
      </c>
    </row>
    <row r="120" spans="1:17" x14ac:dyDescent="0.25">
      <c r="A120" t="s">
        <v>6876</v>
      </c>
      <c r="B120" t="s">
        <v>6877</v>
      </c>
      <c r="C120" s="1">
        <v>41275</v>
      </c>
      <c r="D120" s="1">
        <v>41639</v>
      </c>
      <c r="E120" t="s">
        <v>6878</v>
      </c>
      <c r="F120" t="s">
        <v>6879</v>
      </c>
      <c r="G120" t="s">
        <v>167</v>
      </c>
      <c r="H120" t="s">
        <v>62</v>
      </c>
      <c r="I120" t="str">
        <f>"45201"</f>
        <v>45201</v>
      </c>
      <c r="J120" t="s">
        <v>22</v>
      </c>
      <c r="K120" t="s">
        <v>91</v>
      </c>
      <c r="L120" s="2">
        <v>67710862</v>
      </c>
      <c r="M120" s="2">
        <v>61524597</v>
      </c>
      <c r="N120" s="2">
        <v>130626</v>
      </c>
      <c r="O120" s="2">
        <v>6529713</v>
      </c>
      <c r="P120" t="s">
        <v>24</v>
      </c>
      <c r="Q120" t="s">
        <v>24</v>
      </c>
    </row>
    <row r="121" spans="1:17" x14ac:dyDescent="0.25">
      <c r="A121" t="s">
        <v>5315</v>
      </c>
      <c r="B121" t="s">
        <v>5316</v>
      </c>
      <c r="C121" s="1">
        <v>41275</v>
      </c>
      <c r="D121" s="1">
        <v>41639</v>
      </c>
      <c r="E121" t="s">
        <v>5317</v>
      </c>
      <c r="G121" t="s">
        <v>5318</v>
      </c>
      <c r="H121" t="s">
        <v>42</v>
      </c>
      <c r="I121" t="str">
        <f>"53122"</f>
        <v>53122</v>
      </c>
      <c r="J121" t="s">
        <v>22</v>
      </c>
      <c r="K121" t="s">
        <v>30</v>
      </c>
      <c r="L121" s="2">
        <v>67331998</v>
      </c>
      <c r="M121" s="2">
        <v>24116488</v>
      </c>
      <c r="N121" s="2">
        <v>0</v>
      </c>
      <c r="O121" s="2">
        <v>3581522</v>
      </c>
      <c r="P121" t="s">
        <v>24</v>
      </c>
      <c r="Q121" t="s">
        <v>24</v>
      </c>
    </row>
    <row r="122" spans="1:17" x14ac:dyDescent="0.25">
      <c r="A122" t="s">
        <v>7179</v>
      </c>
      <c r="B122" t="s">
        <v>7180</v>
      </c>
      <c r="C122" s="1">
        <v>41275</v>
      </c>
      <c r="D122" s="1">
        <v>41639</v>
      </c>
      <c r="E122" t="s">
        <v>7181</v>
      </c>
      <c r="G122" t="s">
        <v>6155</v>
      </c>
      <c r="H122" t="s">
        <v>47</v>
      </c>
      <c r="I122" t="str">
        <f>"49417"</f>
        <v>49417</v>
      </c>
      <c r="J122" t="s">
        <v>63</v>
      </c>
      <c r="K122" t="s">
        <v>64</v>
      </c>
      <c r="L122" s="2">
        <v>66316744</v>
      </c>
      <c r="M122" s="2">
        <v>4912549</v>
      </c>
      <c r="N122" s="2">
        <v>492252</v>
      </c>
      <c r="O122" s="2">
        <v>3564413</v>
      </c>
      <c r="P122" s="2">
        <v>412319</v>
      </c>
      <c r="Q122" s="2">
        <v>98381</v>
      </c>
    </row>
    <row r="123" spans="1:17" x14ac:dyDescent="0.25">
      <c r="A123" t="s">
        <v>1201</v>
      </c>
      <c r="B123" t="s">
        <v>1202</v>
      </c>
      <c r="C123" s="1">
        <v>41091</v>
      </c>
      <c r="D123" s="1">
        <v>41455</v>
      </c>
      <c r="E123" t="s">
        <v>1203</v>
      </c>
      <c r="G123" t="s">
        <v>41</v>
      </c>
      <c r="H123" t="s">
        <v>42</v>
      </c>
      <c r="I123" t="str">
        <f>"53217"</f>
        <v>53217</v>
      </c>
      <c r="J123" t="s">
        <v>22</v>
      </c>
      <c r="K123" t="s">
        <v>23</v>
      </c>
      <c r="L123" s="2">
        <v>65112675</v>
      </c>
      <c r="M123" s="2">
        <v>13687532</v>
      </c>
      <c r="N123" s="2">
        <v>0</v>
      </c>
      <c r="O123" s="2">
        <v>3850873</v>
      </c>
      <c r="P123" t="s">
        <v>24</v>
      </c>
      <c r="Q123" t="s">
        <v>24</v>
      </c>
    </row>
    <row r="124" spans="1:17" x14ac:dyDescent="0.25">
      <c r="A124" t="s">
        <v>4914</v>
      </c>
      <c r="B124" t="s">
        <v>4915</v>
      </c>
      <c r="C124" s="1">
        <v>41275</v>
      </c>
      <c r="D124" s="1">
        <v>41639</v>
      </c>
      <c r="E124" t="s">
        <v>4916</v>
      </c>
      <c r="F124" t="s">
        <v>4917</v>
      </c>
      <c r="G124" t="s">
        <v>3187</v>
      </c>
      <c r="H124" t="s">
        <v>62</v>
      </c>
      <c r="I124" t="str">
        <f>"43058"</f>
        <v>43058</v>
      </c>
      <c r="J124" t="s">
        <v>63</v>
      </c>
      <c r="K124" t="s">
        <v>64</v>
      </c>
      <c r="L124" s="2">
        <v>62447316</v>
      </c>
      <c r="M124" s="2">
        <v>2421078</v>
      </c>
      <c r="N124" s="2">
        <v>6040424</v>
      </c>
      <c r="O124" s="2">
        <v>2561698</v>
      </c>
      <c r="P124" s="2">
        <v>312307</v>
      </c>
      <c r="Q124" s="2">
        <v>136196</v>
      </c>
    </row>
    <row r="125" spans="1:17" x14ac:dyDescent="0.25">
      <c r="A125" t="s">
        <v>2133</v>
      </c>
      <c r="B125" t="s">
        <v>2134</v>
      </c>
      <c r="C125" s="1">
        <v>41091</v>
      </c>
      <c r="D125" s="1">
        <v>41455</v>
      </c>
      <c r="E125" t="s">
        <v>2135</v>
      </c>
      <c r="F125" t="s">
        <v>2136</v>
      </c>
      <c r="G125" t="s">
        <v>364</v>
      </c>
      <c r="H125" t="s">
        <v>21</v>
      </c>
      <c r="I125" t="str">
        <f>"47708"</f>
        <v>47708</v>
      </c>
      <c r="J125" t="s">
        <v>63</v>
      </c>
      <c r="K125" t="s">
        <v>64</v>
      </c>
      <c r="L125" s="2">
        <v>61612206</v>
      </c>
      <c r="M125" s="2">
        <v>5099416</v>
      </c>
      <c r="N125" s="2">
        <v>4563902</v>
      </c>
      <c r="O125" s="2">
        <v>2949866</v>
      </c>
      <c r="P125" s="2">
        <v>593618</v>
      </c>
      <c r="Q125" s="2">
        <v>309804</v>
      </c>
    </row>
    <row r="126" spans="1:17" x14ac:dyDescent="0.25">
      <c r="A126" t="s">
        <v>2711</v>
      </c>
      <c r="B126" t="s">
        <v>2712</v>
      </c>
      <c r="C126" s="1">
        <v>41275</v>
      </c>
      <c r="D126" s="1">
        <v>41639</v>
      </c>
      <c r="E126" t="s">
        <v>2713</v>
      </c>
      <c r="G126" t="s">
        <v>353</v>
      </c>
      <c r="H126" t="s">
        <v>62</v>
      </c>
      <c r="I126" t="str">
        <f>"43215"</f>
        <v>43215</v>
      </c>
      <c r="J126" t="s">
        <v>22</v>
      </c>
      <c r="K126" t="s">
        <v>23</v>
      </c>
      <c r="L126" s="2">
        <v>61160513</v>
      </c>
      <c r="M126" s="2">
        <v>22657935</v>
      </c>
      <c r="N126" s="2">
        <v>14568751</v>
      </c>
      <c r="O126" s="2">
        <v>13032740</v>
      </c>
      <c r="P126" t="s">
        <v>24</v>
      </c>
      <c r="Q126" t="s">
        <v>24</v>
      </c>
    </row>
    <row r="127" spans="1:17" x14ac:dyDescent="0.25">
      <c r="A127" t="s">
        <v>7686</v>
      </c>
      <c r="B127" t="s">
        <v>7687</v>
      </c>
      <c r="C127" s="1">
        <v>41275</v>
      </c>
      <c r="D127" s="1">
        <v>41639</v>
      </c>
      <c r="E127" t="s">
        <v>7688</v>
      </c>
      <c r="G127" t="s">
        <v>353</v>
      </c>
      <c r="H127" t="s">
        <v>21</v>
      </c>
      <c r="I127" t="str">
        <f>"47203"</f>
        <v>47203</v>
      </c>
      <c r="J127" t="s">
        <v>63</v>
      </c>
      <c r="K127" t="s">
        <v>64</v>
      </c>
      <c r="L127" s="2">
        <v>61003258</v>
      </c>
      <c r="M127" s="2">
        <v>4938967</v>
      </c>
      <c r="N127" s="2">
        <v>12912269</v>
      </c>
      <c r="O127" s="2">
        <v>3876381</v>
      </c>
      <c r="P127" s="2">
        <v>225746</v>
      </c>
      <c r="Q127" s="2">
        <v>240413</v>
      </c>
    </row>
    <row r="128" spans="1:17" x14ac:dyDescent="0.25">
      <c r="A128" t="s">
        <v>354</v>
      </c>
      <c r="B128" t="s">
        <v>355</v>
      </c>
      <c r="C128" s="1">
        <v>41091</v>
      </c>
      <c r="D128" s="1">
        <v>41455</v>
      </c>
      <c r="E128" t="s">
        <v>356</v>
      </c>
      <c r="G128" t="s">
        <v>357</v>
      </c>
      <c r="H128" t="s">
        <v>21</v>
      </c>
      <c r="I128" t="str">
        <f>"46809"</f>
        <v>46809</v>
      </c>
      <c r="J128" t="s">
        <v>63</v>
      </c>
      <c r="K128" t="s">
        <v>79</v>
      </c>
      <c r="L128" s="2">
        <v>60749511</v>
      </c>
      <c r="M128" s="2">
        <v>6923983</v>
      </c>
      <c r="N128" s="2">
        <v>4485035</v>
      </c>
      <c r="O128" s="2">
        <v>2595461</v>
      </c>
      <c r="P128" s="2">
        <v>333630</v>
      </c>
      <c r="Q128" s="2">
        <v>0</v>
      </c>
    </row>
    <row r="129" spans="1:17" x14ac:dyDescent="0.25">
      <c r="A129" t="s">
        <v>3757</v>
      </c>
      <c r="B129" t="s">
        <v>3758</v>
      </c>
      <c r="C129" s="1">
        <v>41275</v>
      </c>
      <c r="D129" s="1">
        <v>41639</v>
      </c>
      <c r="E129" t="s">
        <v>352</v>
      </c>
      <c r="G129" t="s">
        <v>353</v>
      </c>
      <c r="H129" t="s">
        <v>62</v>
      </c>
      <c r="I129" t="str">
        <f>"43205"</f>
        <v>43205</v>
      </c>
      <c r="J129" t="s">
        <v>63</v>
      </c>
      <c r="K129" t="s">
        <v>64</v>
      </c>
      <c r="L129" s="2">
        <v>60314997</v>
      </c>
      <c r="M129" s="2">
        <v>5242116</v>
      </c>
      <c r="N129" s="2">
        <v>353555</v>
      </c>
      <c r="O129" s="2">
        <v>4338984</v>
      </c>
      <c r="P129" s="2">
        <v>172842</v>
      </c>
      <c r="Q129" s="2">
        <v>127604</v>
      </c>
    </row>
    <row r="130" spans="1:17" x14ac:dyDescent="0.25">
      <c r="A130" t="s">
        <v>6349</v>
      </c>
      <c r="B130" t="s">
        <v>6350</v>
      </c>
      <c r="C130" s="1">
        <v>41275</v>
      </c>
      <c r="D130" s="1">
        <v>41639</v>
      </c>
      <c r="E130" t="s">
        <v>6351</v>
      </c>
      <c r="G130" t="s">
        <v>1560</v>
      </c>
      <c r="H130" t="s">
        <v>21</v>
      </c>
      <c r="I130" t="str">
        <f>"46601"</f>
        <v>46601</v>
      </c>
      <c r="J130" t="s">
        <v>22</v>
      </c>
      <c r="K130" t="s">
        <v>30</v>
      </c>
      <c r="L130" s="2">
        <v>60015097</v>
      </c>
      <c r="M130" s="2">
        <v>12986065</v>
      </c>
      <c r="N130" s="2">
        <v>0</v>
      </c>
      <c r="O130" s="2">
        <v>2533254</v>
      </c>
      <c r="P130" t="s">
        <v>24</v>
      </c>
      <c r="Q130" t="s">
        <v>24</v>
      </c>
    </row>
    <row r="131" spans="1:17" x14ac:dyDescent="0.25">
      <c r="A131" t="s">
        <v>855</v>
      </c>
      <c r="B131" t="s">
        <v>856</v>
      </c>
      <c r="C131" s="1">
        <v>41091</v>
      </c>
      <c r="D131" s="1">
        <v>41455</v>
      </c>
      <c r="E131" t="s">
        <v>857</v>
      </c>
      <c r="G131" t="s">
        <v>858</v>
      </c>
      <c r="H131" t="s">
        <v>29</v>
      </c>
      <c r="I131" t="str">
        <f>"60187"</f>
        <v>60187</v>
      </c>
      <c r="J131" t="s">
        <v>63</v>
      </c>
      <c r="K131" t="s">
        <v>64</v>
      </c>
      <c r="L131" s="2">
        <v>59537304</v>
      </c>
      <c r="M131" s="2">
        <v>12263718</v>
      </c>
      <c r="N131" s="2">
        <v>10107608</v>
      </c>
      <c r="O131" s="2">
        <v>4265195</v>
      </c>
      <c r="P131" s="2">
        <v>261110</v>
      </c>
      <c r="Q131" s="2">
        <v>196160</v>
      </c>
    </row>
    <row r="132" spans="1:17" x14ac:dyDescent="0.25">
      <c r="A132" t="s">
        <v>2148</v>
      </c>
      <c r="B132" t="s">
        <v>2149</v>
      </c>
      <c r="C132" s="1">
        <v>41275</v>
      </c>
      <c r="D132" s="1">
        <v>41639</v>
      </c>
      <c r="E132" t="s">
        <v>1382</v>
      </c>
      <c r="G132" t="s">
        <v>139</v>
      </c>
      <c r="H132" t="s">
        <v>47</v>
      </c>
      <c r="I132" t="str">
        <f>"49503"</f>
        <v>49503</v>
      </c>
      <c r="J132" t="s">
        <v>22</v>
      </c>
      <c r="K132" t="s">
        <v>30</v>
      </c>
      <c r="L132" s="2">
        <v>58382147</v>
      </c>
      <c r="M132" s="2">
        <v>26088118</v>
      </c>
      <c r="N132" s="2">
        <v>69486</v>
      </c>
      <c r="O132" s="2">
        <v>48827070</v>
      </c>
      <c r="P132" t="s">
        <v>24</v>
      </c>
      <c r="Q132" t="s">
        <v>24</v>
      </c>
    </row>
    <row r="133" spans="1:17" x14ac:dyDescent="0.25">
      <c r="A133" t="s">
        <v>7037</v>
      </c>
      <c r="B133" t="s">
        <v>7038</v>
      </c>
      <c r="C133" s="1">
        <v>41275</v>
      </c>
      <c r="D133" s="1">
        <v>41639</v>
      </c>
      <c r="E133" t="s">
        <v>1856</v>
      </c>
      <c r="G133" t="s">
        <v>751</v>
      </c>
      <c r="H133" t="s">
        <v>62</v>
      </c>
      <c r="I133" t="str">
        <f>"44144"</f>
        <v>44144</v>
      </c>
      <c r="J133" t="s">
        <v>22</v>
      </c>
      <c r="K133" t="s">
        <v>23</v>
      </c>
      <c r="L133" s="2">
        <v>58248208</v>
      </c>
      <c r="M133" s="2">
        <v>11491560</v>
      </c>
      <c r="N133" s="2">
        <v>0</v>
      </c>
      <c r="O133" s="2">
        <v>3036382</v>
      </c>
      <c r="P133" t="s">
        <v>24</v>
      </c>
      <c r="Q133" t="s">
        <v>24</v>
      </c>
    </row>
    <row r="134" spans="1:17" x14ac:dyDescent="0.25">
      <c r="A134" t="s">
        <v>6890</v>
      </c>
      <c r="B134" t="s">
        <v>6891</v>
      </c>
      <c r="C134" s="1">
        <v>41061</v>
      </c>
      <c r="D134" s="1">
        <v>41425</v>
      </c>
      <c r="E134" t="s">
        <v>6892</v>
      </c>
      <c r="G134" t="s">
        <v>6893</v>
      </c>
      <c r="H134" t="s">
        <v>29</v>
      </c>
      <c r="I134" t="str">
        <f>"60085"</f>
        <v>60085</v>
      </c>
      <c r="J134" t="s">
        <v>22</v>
      </c>
      <c r="K134" t="s">
        <v>30</v>
      </c>
      <c r="L134" s="2">
        <v>58184115</v>
      </c>
      <c r="M134" s="2">
        <v>5944259</v>
      </c>
      <c r="N134" s="2">
        <v>1901221</v>
      </c>
      <c r="O134" s="2">
        <v>2535017</v>
      </c>
      <c r="P134" t="s">
        <v>24</v>
      </c>
      <c r="Q134" t="s">
        <v>24</v>
      </c>
    </row>
    <row r="135" spans="1:17" x14ac:dyDescent="0.25">
      <c r="A135" t="s">
        <v>1775</v>
      </c>
      <c r="B135" t="s">
        <v>1776</v>
      </c>
      <c r="C135" s="1">
        <v>41591</v>
      </c>
      <c r="D135" s="1">
        <v>41639</v>
      </c>
      <c r="E135" t="s">
        <v>1777</v>
      </c>
      <c r="G135" t="s">
        <v>1575</v>
      </c>
      <c r="H135" t="s">
        <v>42</v>
      </c>
      <c r="I135" t="str">
        <f>"54912"</f>
        <v>54912</v>
      </c>
      <c r="J135" t="s">
        <v>63</v>
      </c>
      <c r="K135" t="s">
        <v>79</v>
      </c>
      <c r="L135" s="2">
        <v>58078754</v>
      </c>
      <c r="M135" s="2">
        <v>0</v>
      </c>
      <c r="N135" s="2">
        <v>95397</v>
      </c>
      <c r="O135" s="2">
        <v>0</v>
      </c>
      <c r="P135" s="2">
        <v>0</v>
      </c>
      <c r="Q135" s="2">
        <v>0</v>
      </c>
    </row>
    <row r="136" spans="1:17" x14ac:dyDescent="0.25">
      <c r="A136" t="s">
        <v>7061</v>
      </c>
      <c r="B136" t="s">
        <v>7062</v>
      </c>
      <c r="C136" s="1">
        <v>41456</v>
      </c>
      <c r="D136" s="1">
        <v>41820</v>
      </c>
      <c r="E136" t="s">
        <v>7063</v>
      </c>
      <c r="G136" t="s">
        <v>1822</v>
      </c>
      <c r="H136" t="s">
        <v>62</v>
      </c>
      <c r="I136" t="str">
        <f>"44691"</f>
        <v>44691</v>
      </c>
      <c r="J136" t="s">
        <v>63</v>
      </c>
      <c r="K136" t="s">
        <v>64</v>
      </c>
      <c r="L136" s="2">
        <v>57590405</v>
      </c>
      <c r="M136" s="2">
        <v>4024049</v>
      </c>
      <c r="N136" s="2">
        <v>8534086</v>
      </c>
      <c r="O136" s="2">
        <v>2848360</v>
      </c>
      <c r="P136" s="2">
        <v>320202</v>
      </c>
      <c r="Q136" s="2">
        <v>84941</v>
      </c>
    </row>
    <row r="137" spans="1:17" x14ac:dyDescent="0.25">
      <c r="A137" t="s">
        <v>7408</v>
      </c>
      <c r="B137" t="s">
        <v>7409</v>
      </c>
      <c r="C137" s="1">
        <v>41275</v>
      </c>
      <c r="D137" s="1">
        <v>41639</v>
      </c>
      <c r="E137" t="s">
        <v>2214</v>
      </c>
      <c r="G137" t="s">
        <v>337</v>
      </c>
      <c r="H137" t="s">
        <v>62</v>
      </c>
      <c r="I137" t="str">
        <f>"44135"</f>
        <v>44135</v>
      </c>
      <c r="J137" t="s">
        <v>22</v>
      </c>
      <c r="K137" t="s">
        <v>30</v>
      </c>
      <c r="L137" s="2">
        <v>57420163</v>
      </c>
      <c r="M137" s="2">
        <v>13032845</v>
      </c>
      <c r="N137" s="2">
        <v>0</v>
      </c>
      <c r="O137" s="2">
        <v>6539712</v>
      </c>
      <c r="P137" t="s">
        <v>24</v>
      </c>
      <c r="Q137" t="s">
        <v>24</v>
      </c>
    </row>
    <row r="138" spans="1:17" x14ac:dyDescent="0.25">
      <c r="A138" t="s">
        <v>4892</v>
      </c>
      <c r="B138" t="s">
        <v>4893</v>
      </c>
      <c r="C138" s="1">
        <v>41275</v>
      </c>
      <c r="D138" s="1">
        <v>41639</v>
      </c>
      <c r="E138" t="s">
        <v>4894</v>
      </c>
      <c r="G138" t="s">
        <v>167</v>
      </c>
      <c r="H138" t="s">
        <v>62</v>
      </c>
      <c r="I138" t="str">
        <f>"45202"</f>
        <v>45202</v>
      </c>
      <c r="J138" t="s">
        <v>63</v>
      </c>
      <c r="K138" t="s">
        <v>79</v>
      </c>
      <c r="L138" s="2">
        <v>57041917</v>
      </c>
      <c r="M138" s="2">
        <v>33624517</v>
      </c>
      <c r="N138" s="2">
        <v>8969330</v>
      </c>
      <c r="O138" s="2">
        <v>31401403</v>
      </c>
      <c r="P138" s="2">
        <v>3306019</v>
      </c>
      <c r="Q138" s="2">
        <v>297226</v>
      </c>
    </row>
    <row r="139" spans="1:17" x14ac:dyDescent="0.25">
      <c r="A139" t="s">
        <v>1539</v>
      </c>
      <c r="B139" t="s">
        <v>1540</v>
      </c>
      <c r="C139" s="1">
        <v>41091</v>
      </c>
      <c r="D139" s="1">
        <v>41455</v>
      </c>
      <c r="E139" t="s">
        <v>1541</v>
      </c>
      <c r="G139" t="s">
        <v>167</v>
      </c>
      <c r="H139" t="s">
        <v>62</v>
      </c>
      <c r="I139" t="str">
        <f>"45247"</f>
        <v>45247</v>
      </c>
      <c r="J139" t="s">
        <v>63</v>
      </c>
      <c r="K139" t="s">
        <v>79</v>
      </c>
      <c r="L139" s="2">
        <v>56755054</v>
      </c>
      <c r="M139" s="2">
        <v>16031698</v>
      </c>
      <c r="N139" s="2">
        <v>0</v>
      </c>
      <c r="O139" s="2">
        <v>15623191</v>
      </c>
      <c r="P139" s="2">
        <v>143398</v>
      </c>
      <c r="Q139" s="2">
        <v>0</v>
      </c>
    </row>
    <row r="140" spans="1:17" x14ac:dyDescent="0.25">
      <c r="A140" t="s">
        <v>1689</v>
      </c>
      <c r="B140" t="s">
        <v>1690</v>
      </c>
      <c r="C140" s="1">
        <v>41275</v>
      </c>
      <c r="D140" s="1">
        <v>41639</v>
      </c>
      <c r="E140" t="s">
        <v>1691</v>
      </c>
      <c r="G140" t="s">
        <v>1692</v>
      </c>
      <c r="H140" t="s">
        <v>29</v>
      </c>
      <c r="I140" t="str">
        <f>"61053"</f>
        <v>61053</v>
      </c>
      <c r="J140" t="s">
        <v>22</v>
      </c>
      <c r="K140" t="s">
        <v>23</v>
      </c>
      <c r="L140" s="2">
        <v>56703730</v>
      </c>
      <c r="M140" s="2">
        <v>20485839</v>
      </c>
      <c r="N140" s="2">
        <v>0</v>
      </c>
      <c r="O140" s="2">
        <v>4091638</v>
      </c>
      <c r="P140" t="s">
        <v>24</v>
      </c>
      <c r="Q140" t="s">
        <v>24</v>
      </c>
    </row>
    <row r="141" spans="1:17" x14ac:dyDescent="0.25">
      <c r="A141" t="s">
        <v>35</v>
      </c>
      <c r="B141" t="s">
        <v>36</v>
      </c>
      <c r="C141" s="1">
        <v>41456</v>
      </c>
      <c r="D141" s="1">
        <v>41820</v>
      </c>
      <c r="E141" t="s">
        <v>37</v>
      </c>
      <c r="G141" t="s">
        <v>28</v>
      </c>
      <c r="H141" t="s">
        <v>29</v>
      </c>
      <c r="I141" t="str">
        <f>"60606"</f>
        <v>60606</v>
      </c>
      <c r="J141" t="s">
        <v>22</v>
      </c>
      <c r="K141" t="s">
        <v>23</v>
      </c>
      <c r="L141" s="2">
        <v>55986810</v>
      </c>
      <c r="M141" s="2">
        <v>7540122</v>
      </c>
      <c r="N141" s="2">
        <v>34993</v>
      </c>
      <c r="O141" s="2">
        <v>3164521</v>
      </c>
      <c r="P141" t="s">
        <v>24</v>
      </c>
      <c r="Q141" t="s">
        <v>24</v>
      </c>
    </row>
    <row r="142" spans="1:17" x14ac:dyDescent="0.25">
      <c r="A142" t="s">
        <v>4588</v>
      </c>
      <c r="B142" t="s">
        <v>4589</v>
      </c>
      <c r="C142" s="1">
        <v>41275</v>
      </c>
      <c r="D142" s="1">
        <v>41639</v>
      </c>
      <c r="E142" t="s">
        <v>4590</v>
      </c>
      <c r="F142" t="s">
        <v>4591</v>
      </c>
      <c r="G142" t="s">
        <v>432</v>
      </c>
      <c r="H142" t="s">
        <v>47</v>
      </c>
      <c r="I142" t="str">
        <f>"49423"</f>
        <v>49423</v>
      </c>
      <c r="J142" t="s">
        <v>63</v>
      </c>
      <c r="K142" t="s">
        <v>64</v>
      </c>
      <c r="L142" s="2">
        <v>53530189</v>
      </c>
      <c r="M142" s="2">
        <v>4988106</v>
      </c>
      <c r="N142" s="2">
        <v>763170</v>
      </c>
      <c r="O142" s="2">
        <v>4968466</v>
      </c>
      <c r="P142" s="2">
        <v>294309</v>
      </c>
      <c r="Q142" s="2">
        <v>179397</v>
      </c>
    </row>
    <row r="143" spans="1:17" x14ac:dyDescent="0.25">
      <c r="A143" t="s">
        <v>7572</v>
      </c>
      <c r="B143" t="s">
        <v>7573</v>
      </c>
      <c r="C143" s="1">
        <v>41275</v>
      </c>
      <c r="D143" s="1">
        <v>41639</v>
      </c>
      <c r="E143" t="s">
        <v>7574</v>
      </c>
      <c r="G143" t="s">
        <v>2549</v>
      </c>
      <c r="H143" t="s">
        <v>42</v>
      </c>
      <c r="I143" t="str">
        <f>"54403"</f>
        <v>54403</v>
      </c>
      <c r="J143" t="s">
        <v>22</v>
      </c>
      <c r="K143" t="s">
        <v>30</v>
      </c>
      <c r="L143" s="2">
        <v>53394934</v>
      </c>
      <c r="M143" s="2">
        <v>18134985</v>
      </c>
      <c r="N143" s="2">
        <v>1503099</v>
      </c>
      <c r="O143" s="2">
        <v>2393602</v>
      </c>
      <c r="P143" t="s">
        <v>24</v>
      </c>
      <c r="Q143" t="s">
        <v>24</v>
      </c>
    </row>
    <row r="144" spans="1:17" x14ac:dyDescent="0.25">
      <c r="A144" t="s">
        <v>7378</v>
      </c>
      <c r="B144" t="s">
        <v>7379</v>
      </c>
      <c r="C144" s="1">
        <v>41275</v>
      </c>
      <c r="D144" s="1">
        <v>41639</v>
      </c>
      <c r="E144" t="s">
        <v>7380</v>
      </c>
      <c r="G144" t="s">
        <v>5596</v>
      </c>
      <c r="H144" t="s">
        <v>29</v>
      </c>
      <c r="I144" t="str">
        <f>"60064"</f>
        <v>60064</v>
      </c>
      <c r="J144" t="s">
        <v>22</v>
      </c>
      <c r="K144" t="s">
        <v>23</v>
      </c>
      <c r="L144" s="2">
        <v>53271158</v>
      </c>
      <c r="M144" s="2">
        <v>810053325</v>
      </c>
      <c r="N144" s="2">
        <v>399545</v>
      </c>
      <c r="O144" s="2">
        <v>787981527</v>
      </c>
      <c r="P144" t="s">
        <v>24</v>
      </c>
      <c r="Q144" t="s">
        <v>24</v>
      </c>
    </row>
    <row r="145" spans="1:17" x14ac:dyDescent="0.25">
      <c r="A145" t="s">
        <v>7033</v>
      </c>
      <c r="B145" t="s">
        <v>7034</v>
      </c>
      <c r="C145" s="1">
        <v>40909</v>
      </c>
      <c r="D145" s="1">
        <v>41274</v>
      </c>
      <c r="E145" t="s">
        <v>7035</v>
      </c>
      <c r="F145" t="s">
        <v>7036</v>
      </c>
      <c r="G145" t="s">
        <v>28</v>
      </c>
      <c r="H145" t="s">
        <v>29</v>
      </c>
      <c r="I145" t="str">
        <f>"60603"</f>
        <v>60603</v>
      </c>
      <c r="J145" t="s">
        <v>22</v>
      </c>
      <c r="K145" t="s">
        <v>30</v>
      </c>
      <c r="L145" s="2">
        <v>52977195</v>
      </c>
      <c r="M145" s="2">
        <v>22416378</v>
      </c>
      <c r="N145" s="2">
        <v>0</v>
      </c>
      <c r="O145" s="2">
        <v>12959329</v>
      </c>
      <c r="P145" t="s">
        <v>24</v>
      </c>
      <c r="Q145" t="s">
        <v>24</v>
      </c>
    </row>
    <row r="146" spans="1:17" x14ac:dyDescent="0.25">
      <c r="A146" t="s">
        <v>1985</v>
      </c>
      <c r="B146" t="s">
        <v>1986</v>
      </c>
      <c r="C146" s="1">
        <v>41275</v>
      </c>
      <c r="D146" s="1">
        <v>41639</v>
      </c>
      <c r="E146" t="s">
        <v>1987</v>
      </c>
      <c r="G146" t="s">
        <v>1988</v>
      </c>
      <c r="H146" t="s">
        <v>42</v>
      </c>
      <c r="I146" t="str">
        <f>"54021"</f>
        <v>54021</v>
      </c>
      <c r="J146" t="s">
        <v>22</v>
      </c>
      <c r="K146" t="s">
        <v>30</v>
      </c>
      <c r="L146" s="2">
        <v>52851726</v>
      </c>
      <c r="M146" s="2">
        <v>13675303</v>
      </c>
      <c r="N146" s="2">
        <v>0</v>
      </c>
      <c r="O146" s="2">
        <v>2206340</v>
      </c>
      <c r="P146" t="s">
        <v>24</v>
      </c>
      <c r="Q146" t="s">
        <v>24</v>
      </c>
    </row>
    <row r="147" spans="1:17" x14ac:dyDescent="0.25">
      <c r="A147" t="s">
        <v>6296</v>
      </c>
      <c r="B147" t="s">
        <v>6297</v>
      </c>
      <c r="C147" s="1">
        <v>41456</v>
      </c>
      <c r="D147" s="1">
        <v>41820</v>
      </c>
      <c r="E147" t="s">
        <v>6298</v>
      </c>
      <c r="G147" t="s">
        <v>1809</v>
      </c>
      <c r="H147" t="s">
        <v>29</v>
      </c>
      <c r="I147" t="str">
        <f>"60045"</f>
        <v>60045</v>
      </c>
      <c r="J147" t="s">
        <v>22</v>
      </c>
      <c r="K147" t="s">
        <v>30</v>
      </c>
      <c r="L147" s="2">
        <v>52576913</v>
      </c>
      <c r="M147" s="2">
        <v>426240</v>
      </c>
      <c r="N147" s="2">
        <v>0</v>
      </c>
      <c r="O147" s="2">
        <v>4959091</v>
      </c>
      <c r="P147" t="s">
        <v>24</v>
      </c>
      <c r="Q147" t="s">
        <v>24</v>
      </c>
    </row>
    <row r="148" spans="1:17" x14ac:dyDescent="0.25">
      <c r="A148" t="s">
        <v>7450</v>
      </c>
      <c r="B148" t="s">
        <v>7451</v>
      </c>
      <c r="C148" s="1">
        <v>41275</v>
      </c>
      <c r="D148" s="1">
        <v>41639</v>
      </c>
      <c r="E148" t="s">
        <v>7452</v>
      </c>
      <c r="G148" t="s">
        <v>2230</v>
      </c>
      <c r="H148" t="s">
        <v>21</v>
      </c>
      <c r="I148" t="str">
        <f>"47308"</f>
        <v>47308</v>
      </c>
      <c r="J148" t="s">
        <v>63</v>
      </c>
      <c r="K148" t="s">
        <v>64</v>
      </c>
      <c r="L148" s="2">
        <v>52239700</v>
      </c>
      <c r="M148" s="2">
        <v>3267387</v>
      </c>
      <c r="N148" s="2">
        <v>903709</v>
      </c>
      <c r="O148" s="2">
        <v>2525747</v>
      </c>
      <c r="P148" s="2">
        <v>614680</v>
      </c>
      <c r="Q148" s="2">
        <v>56367</v>
      </c>
    </row>
    <row r="149" spans="1:17" x14ac:dyDescent="0.25">
      <c r="A149" t="s">
        <v>3174</v>
      </c>
      <c r="B149" t="s">
        <v>3175</v>
      </c>
      <c r="C149" s="1">
        <v>41275</v>
      </c>
      <c r="D149" s="1">
        <v>41639</v>
      </c>
      <c r="E149" t="s">
        <v>3176</v>
      </c>
      <c r="G149" t="s">
        <v>1010</v>
      </c>
      <c r="H149" t="s">
        <v>47</v>
      </c>
      <c r="I149" t="str">
        <f>"49684"</f>
        <v>49684</v>
      </c>
      <c r="J149" t="s">
        <v>63</v>
      </c>
      <c r="K149" t="s">
        <v>64</v>
      </c>
      <c r="L149" s="2">
        <v>52104808</v>
      </c>
      <c r="M149" s="2">
        <v>8469070</v>
      </c>
      <c r="N149" s="2">
        <v>41828</v>
      </c>
      <c r="O149" s="2">
        <v>8009074</v>
      </c>
      <c r="P149" s="2">
        <v>472493</v>
      </c>
      <c r="Q149" s="2">
        <v>43046</v>
      </c>
    </row>
    <row r="150" spans="1:17" x14ac:dyDescent="0.25">
      <c r="A150" t="s">
        <v>1197</v>
      </c>
      <c r="B150" t="s">
        <v>1198</v>
      </c>
      <c r="C150" s="1">
        <v>41091</v>
      </c>
      <c r="D150" s="1">
        <v>41455</v>
      </c>
      <c r="E150" t="s">
        <v>1199</v>
      </c>
      <c r="G150" t="s">
        <v>1200</v>
      </c>
      <c r="H150" t="s">
        <v>42</v>
      </c>
      <c r="I150" t="str">
        <f>"53402"</f>
        <v>53402</v>
      </c>
      <c r="J150" t="s">
        <v>752</v>
      </c>
      <c r="K150" t="s">
        <v>753</v>
      </c>
      <c r="L150" s="2">
        <v>51418976</v>
      </c>
      <c r="M150" s="2">
        <v>20324874</v>
      </c>
      <c r="N150" s="2">
        <v>8812226</v>
      </c>
      <c r="O150" s="2">
        <v>5803738</v>
      </c>
      <c r="P150" t="s">
        <v>24</v>
      </c>
      <c r="Q150" t="s">
        <v>24</v>
      </c>
    </row>
    <row r="151" spans="1:17" x14ac:dyDescent="0.25">
      <c r="A151" t="s">
        <v>2139</v>
      </c>
      <c r="B151" t="s">
        <v>2140</v>
      </c>
      <c r="C151" s="1">
        <v>41275</v>
      </c>
      <c r="D151" s="1">
        <v>41639</v>
      </c>
      <c r="E151" t="s">
        <v>2141</v>
      </c>
      <c r="G151" t="s">
        <v>28</v>
      </c>
      <c r="H151" t="s">
        <v>29</v>
      </c>
      <c r="I151" t="str">
        <f>"60654"</f>
        <v>60654</v>
      </c>
      <c r="J151" t="s">
        <v>22</v>
      </c>
      <c r="K151" t="s">
        <v>23</v>
      </c>
      <c r="L151" s="2">
        <v>50884731</v>
      </c>
      <c r="M151" s="2">
        <v>37309059</v>
      </c>
      <c r="N151" s="2">
        <v>11440</v>
      </c>
      <c r="O151" s="2">
        <v>1804771</v>
      </c>
      <c r="P151" t="s">
        <v>24</v>
      </c>
      <c r="Q151" t="s">
        <v>24</v>
      </c>
    </row>
    <row r="152" spans="1:17" x14ac:dyDescent="0.25">
      <c r="A152" t="s">
        <v>5435</v>
      </c>
      <c r="B152" t="s">
        <v>5436</v>
      </c>
      <c r="C152" s="1">
        <v>41275</v>
      </c>
      <c r="D152" s="1">
        <v>41639</v>
      </c>
      <c r="E152" t="s">
        <v>5437</v>
      </c>
      <c r="F152" t="s">
        <v>5438</v>
      </c>
      <c r="G152" t="s">
        <v>5439</v>
      </c>
      <c r="H152" t="s">
        <v>62</v>
      </c>
      <c r="I152" t="str">
        <f>"45387"</f>
        <v>45387</v>
      </c>
      <c r="J152" t="s">
        <v>22</v>
      </c>
      <c r="K152" t="s">
        <v>30</v>
      </c>
      <c r="L152" s="2">
        <v>50528870</v>
      </c>
      <c r="M152" s="2">
        <v>10831426</v>
      </c>
      <c r="N152" s="2">
        <v>2504373</v>
      </c>
      <c r="O152" s="2">
        <v>3254712</v>
      </c>
      <c r="P152" t="s">
        <v>24</v>
      </c>
      <c r="Q152" t="s">
        <v>24</v>
      </c>
    </row>
    <row r="153" spans="1:17" x14ac:dyDescent="0.25">
      <c r="A153" t="s">
        <v>6827</v>
      </c>
      <c r="B153" t="s">
        <v>6828</v>
      </c>
      <c r="C153" s="1">
        <v>41456</v>
      </c>
      <c r="D153" s="1">
        <v>41820</v>
      </c>
      <c r="E153" t="s">
        <v>6829</v>
      </c>
      <c r="F153" t="s">
        <v>6830</v>
      </c>
      <c r="G153" t="s">
        <v>815</v>
      </c>
      <c r="H153" t="s">
        <v>21</v>
      </c>
      <c r="I153" t="str">
        <f>"46410"</f>
        <v>46410</v>
      </c>
      <c r="J153" t="s">
        <v>63</v>
      </c>
      <c r="K153" t="s">
        <v>64</v>
      </c>
      <c r="L153" s="2">
        <v>50103420</v>
      </c>
      <c r="M153" s="2">
        <v>5067451</v>
      </c>
      <c r="N153" s="2">
        <v>11272645</v>
      </c>
      <c r="O153" s="2">
        <v>6116017</v>
      </c>
      <c r="P153" s="2">
        <v>376094</v>
      </c>
      <c r="Q153" s="2">
        <v>251340</v>
      </c>
    </row>
    <row r="154" spans="1:17" x14ac:dyDescent="0.25">
      <c r="A154" t="s">
        <v>7480</v>
      </c>
      <c r="B154" t="s">
        <v>7481</v>
      </c>
      <c r="C154" s="1">
        <v>41275</v>
      </c>
      <c r="D154" s="1">
        <v>41639</v>
      </c>
      <c r="E154" t="s">
        <v>7482</v>
      </c>
      <c r="G154" t="s">
        <v>4055</v>
      </c>
      <c r="H154" t="s">
        <v>29</v>
      </c>
      <c r="I154" t="str">
        <f>"60185"</f>
        <v>60185</v>
      </c>
      <c r="J154" t="s">
        <v>22</v>
      </c>
      <c r="K154" t="s">
        <v>91</v>
      </c>
      <c r="L154" s="2">
        <v>49845855</v>
      </c>
      <c r="M154" s="2">
        <v>7478841</v>
      </c>
      <c r="N154" s="2">
        <v>0</v>
      </c>
      <c r="O154" s="2">
        <v>3193401</v>
      </c>
      <c r="P154" t="s">
        <v>24</v>
      </c>
      <c r="Q154" t="s">
        <v>24</v>
      </c>
    </row>
    <row r="155" spans="1:17" x14ac:dyDescent="0.25">
      <c r="A155" t="s">
        <v>6541</v>
      </c>
      <c r="B155" t="s">
        <v>6542</v>
      </c>
      <c r="C155" s="1">
        <v>41275</v>
      </c>
      <c r="D155" s="1">
        <v>41639</v>
      </c>
      <c r="E155" t="s">
        <v>6543</v>
      </c>
      <c r="G155" t="s">
        <v>6544</v>
      </c>
      <c r="H155" t="s">
        <v>21</v>
      </c>
      <c r="I155" t="str">
        <f>"46901"</f>
        <v>46901</v>
      </c>
      <c r="J155" t="s">
        <v>63</v>
      </c>
      <c r="K155" t="s">
        <v>64</v>
      </c>
      <c r="L155" s="2">
        <v>49751837</v>
      </c>
      <c r="M155" s="2">
        <v>3488213</v>
      </c>
      <c r="N155" s="2">
        <v>1704214</v>
      </c>
      <c r="O155" s="2">
        <v>1692253</v>
      </c>
      <c r="P155" s="2">
        <v>139812</v>
      </c>
      <c r="Q155" s="2">
        <v>213655</v>
      </c>
    </row>
    <row r="156" spans="1:17" x14ac:dyDescent="0.25">
      <c r="A156" t="s">
        <v>334</v>
      </c>
      <c r="B156" t="s">
        <v>335</v>
      </c>
      <c r="C156" s="1">
        <v>41275</v>
      </c>
      <c r="D156" s="1">
        <v>41639</v>
      </c>
      <c r="E156" t="s">
        <v>336</v>
      </c>
      <c r="G156" t="s">
        <v>337</v>
      </c>
      <c r="H156" t="s">
        <v>62</v>
      </c>
      <c r="I156" t="str">
        <f>"44105"</f>
        <v>44105</v>
      </c>
      <c r="J156" t="s">
        <v>22</v>
      </c>
      <c r="K156" t="s">
        <v>91</v>
      </c>
      <c r="L156" s="2">
        <v>49682362</v>
      </c>
      <c r="M156" s="2">
        <v>2513974</v>
      </c>
      <c r="N156" s="2">
        <v>0</v>
      </c>
      <c r="O156" s="2">
        <v>2649859</v>
      </c>
      <c r="P156" t="s">
        <v>24</v>
      </c>
      <c r="Q156" t="s">
        <v>24</v>
      </c>
    </row>
    <row r="157" spans="1:17" x14ac:dyDescent="0.25">
      <c r="A157" t="s">
        <v>6949</v>
      </c>
      <c r="B157" t="s">
        <v>6950</v>
      </c>
      <c r="C157" s="1">
        <v>41456</v>
      </c>
      <c r="D157" s="1">
        <v>41820</v>
      </c>
      <c r="E157" t="s">
        <v>6951</v>
      </c>
      <c r="G157" t="s">
        <v>2358</v>
      </c>
      <c r="H157" t="s">
        <v>21</v>
      </c>
      <c r="I157" t="str">
        <f>"46580"</f>
        <v>46580</v>
      </c>
      <c r="J157" t="s">
        <v>63</v>
      </c>
      <c r="K157" t="s">
        <v>64</v>
      </c>
      <c r="L157" s="2">
        <v>49577778</v>
      </c>
      <c r="M157" s="2">
        <v>5679744</v>
      </c>
      <c r="N157" s="2">
        <v>2893710</v>
      </c>
      <c r="O157" s="2">
        <v>4259208</v>
      </c>
      <c r="P157" s="2">
        <v>1208959</v>
      </c>
      <c r="Q157" s="2">
        <v>275130</v>
      </c>
    </row>
    <row r="158" spans="1:17" x14ac:dyDescent="0.25">
      <c r="A158" t="s">
        <v>7045</v>
      </c>
      <c r="B158" t="s">
        <v>7046</v>
      </c>
      <c r="C158" s="1">
        <v>41244</v>
      </c>
      <c r="D158" s="1">
        <v>41608</v>
      </c>
      <c r="E158" t="s">
        <v>163</v>
      </c>
      <c r="G158" t="s">
        <v>28</v>
      </c>
      <c r="H158" t="s">
        <v>29</v>
      </c>
      <c r="I158" t="str">
        <f>"60603"</f>
        <v>60603</v>
      </c>
      <c r="J158" t="s">
        <v>22</v>
      </c>
      <c r="K158" t="s">
        <v>23</v>
      </c>
      <c r="L158" s="2">
        <v>49517254</v>
      </c>
      <c r="M158" s="2">
        <v>9144447</v>
      </c>
      <c r="N158" s="2">
        <v>0</v>
      </c>
      <c r="O158" s="2">
        <v>2502598</v>
      </c>
      <c r="P158" t="s">
        <v>24</v>
      </c>
      <c r="Q158" t="s">
        <v>24</v>
      </c>
    </row>
    <row r="159" spans="1:17" x14ac:dyDescent="0.25">
      <c r="A159" t="s">
        <v>3525</v>
      </c>
      <c r="B159" t="s">
        <v>3526</v>
      </c>
      <c r="C159" s="1">
        <v>41091</v>
      </c>
      <c r="D159" s="1">
        <v>41455</v>
      </c>
      <c r="E159" t="s">
        <v>3527</v>
      </c>
      <c r="G159" t="s">
        <v>337</v>
      </c>
      <c r="H159" t="s">
        <v>62</v>
      </c>
      <c r="I159" t="str">
        <f>"44106"</f>
        <v>44106</v>
      </c>
      <c r="J159" t="s">
        <v>63</v>
      </c>
      <c r="K159" t="s">
        <v>23</v>
      </c>
      <c r="L159" s="2">
        <v>48934487</v>
      </c>
      <c r="M159" s="2">
        <v>923998</v>
      </c>
      <c r="N159" s="2">
        <v>1771054</v>
      </c>
      <c r="O159" s="2">
        <v>3363711</v>
      </c>
      <c r="P159" s="2">
        <v>4464</v>
      </c>
      <c r="Q159" s="2">
        <v>516</v>
      </c>
    </row>
    <row r="160" spans="1:17" x14ac:dyDescent="0.25">
      <c r="A160" t="s">
        <v>4023</v>
      </c>
      <c r="B160" t="s">
        <v>4024</v>
      </c>
      <c r="C160" s="1">
        <v>41275</v>
      </c>
      <c r="D160" s="1">
        <v>41639</v>
      </c>
      <c r="E160" t="s">
        <v>3604</v>
      </c>
      <c r="G160" t="s">
        <v>258</v>
      </c>
      <c r="H160" t="s">
        <v>62</v>
      </c>
      <c r="I160" t="str">
        <f>"44512"</f>
        <v>44512</v>
      </c>
      <c r="J160" t="s">
        <v>22</v>
      </c>
      <c r="K160" t="s">
        <v>30</v>
      </c>
      <c r="L160" s="2">
        <v>48473766</v>
      </c>
      <c r="M160" s="2">
        <v>26687279</v>
      </c>
      <c r="N160" s="2">
        <v>0</v>
      </c>
      <c r="O160" s="2">
        <v>2397438</v>
      </c>
      <c r="P160" t="s">
        <v>24</v>
      </c>
      <c r="Q160" t="s">
        <v>24</v>
      </c>
    </row>
    <row r="161" spans="1:17" x14ac:dyDescent="0.25">
      <c r="A161" t="s">
        <v>6126</v>
      </c>
      <c r="B161" t="s">
        <v>6127</v>
      </c>
      <c r="C161" s="1">
        <v>41275</v>
      </c>
      <c r="D161" s="1">
        <v>41639</v>
      </c>
      <c r="E161" t="s">
        <v>6128</v>
      </c>
      <c r="F161" t="s">
        <v>4835</v>
      </c>
      <c r="G161" t="s">
        <v>462</v>
      </c>
      <c r="H161" t="s">
        <v>47</v>
      </c>
      <c r="I161" t="str">
        <f>"48607"</f>
        <v>48607</v>
      </c>
      <c r="J161" t="s">
        <v>63</v>
      </c>
      <c r="K161" t="s">
        <v>64</v>
      </c>
      <c r="L161" s="2">
        <v>48410402</v>
      </c>
      <c r="M161" s="2">
        <v>9302883</v>
      </c>
      <c r="N161" s="2">
        <v>223356</v>
      </c>
      <c r="O161" s="2">
        <v>4224215</v>
      </c>
      <c r="P161" s="2">
        <v>739812</v>
      </c>
      <c r="Q161" s="2">
        <v>86240</v>
      </c>
    </row>
    <row r="162" spans="1:17" x14ac:dyDescent="0.25">
      <c r="A162" t="s">
        <v>4820</v>
      </c>
      <c r="B162" t="s">
        <v>4821</v>
      </c>
      <c r="C162" s="1">
        <v>40909</v>
      </c>
      <c r="D162" s="1">
        <v>41274</v>
      </c>
      <c r="E162" t="s">
        <v>4822</v>
      </c>
      <c r="G162" t="s">
        <v>2168</v>
      </c>
      <c r="H162" t="s">
        <v>29</v>
      </c>
      <c r="I162" t="str">
        <f>"60532"</f>
        <v>60532</v>
      </c>
      <c r="J162" t="s">
        <v>22</v>
      </c>
      <c r="K162" t="s">
        <v>23</v>
      </c>
      <c r="L162" s="2">
        <v>47992748</v>
      </c>
      <c r="M162" s="2">
        <v>12429244</v>
      </c>
      <c r="N162" s="2">
        <v>20064</v>
      </c>
      <c r="O162" s="2">
        <v>3381033</v>
      </c>
      <c r="P162" t="s">
        <v>24</v>
      </c>
      <c r="Q162" t="s">
        <v>24</v>
      </c>
    </row>
    <row r="163" spans="1:17" x14ac:dyDescent="0.25">
      <c r="A163" t="s">
        <v>6325</v>
      </c>
      <c r="B163" t="s">
        <v>6326</v>
      </c>
      <c r="C163" s="1">
        <v>41275</v>
      </c>
      <c r="D163" s="1">
        <v>41639</v>
      </c>
      <c r="E163" t="s">
        <v>6327</v>
      </c>
      <c r="G163" t="s">
        <v>2785</v>
      </c>
      <c r="H163" t="s">
        <v>62</v>
      </c>
      <c r="I163" t="str">
        <f>"45502"</f>
        <v>45502</v>
      </c>
      <c r="J163" t="s">
        <v>22</v>
      </c>
      <c r="K163" t="s">
        <v>91</v>
      </c>
      <c r="L163" s="2">
        <v>47991415</v>
      </c>
      <c r="M163" s="2">
        <v>8491337</v>
      </c>
      <c r="N163" s="2">
        <v>3247800</v>
      </c>
      <c r="O163" s="2">
        <v>3895970</v>
      </c>
      <c r="P163" t="s">
        <v>24</v>
      </c>
      <c r="Q163" t="s">
        <v>24</v>
      </c>
    </row>
    <row r="164" spans="1:17" x14ac:dyDescent="0.25">
      <c r="A164" t="s">
        <v>6227</v>
      </c>
      <c r="B164" t="s">
        <v>6228</v>
      </c>
      <c r="C164" s="1">
        <v>41091</v>
      </c>
      <c r="D164" s="1">
        <v>41455</v>
      </c>
      <c r="E164" t="s">
        <v>6229</v>
      </c>
      <c r="G164" t="s">
        <v>41</v>
      </c>
      <c r="H164" t="s">
        <v>42</v>
      </c>
      <c r="I164" t="str">
        <f>"53203"</f>
        <v>53203</v>
      </c>
      <c r="J164" t="s">
        <v>22</v>
      </c>
      <c r="K164" t="s">
        <v>23</v>
      </c>
      <c r="L164" s="2">
        <v>47868854</v>
      </c>
      <c r="M164" s="2">
        <v>49846629</v>
      </c>
      <c r="N164" s="2">
        <v>7004582</v>
      </c>
      <c r="O164" s="2">
        <v>467944</v>
      </c>
      <c r="P164" t="s">
        <v>24</v>
      </c>
      <c r="Q164" t="s">
        <v>24</v>
      </c>
    </row>
    <row r="165" spans="1:17" x14ac:dyDescent="0.25">
      <c r="A165" t="s">
        <v>6669</v>
      </c>
      <c r="B165" t="s">
        <v>6670</v>
      </c>
      <c r="C165" s="1">
        <v>41275</v>
      </c>
      <c r="D165" s="1">
        <v>41639</v>
      </c>
      <c r="E165" t="s">
        <v>6671</v>
      </c>
      <c r="G165" t="s">
        <v>20</v>
      </c>
      <c r="H165" t="s">
        <v>21</v>
      </c>
      <c r="I165" t="str">
        <f>"46204"</f>
        <v>46204</v>
      </c>
      <c r="J165" t="s">
        <v>22</v>
      </c>
      <c r="K165" t="s">
        <v>30</v>
      </c>
      <c r="L165" s="2">
        <v>47642114</v>
      </c>
      <c r="M165" s="2">
        <v>11035649</v>
      </c>
      <c r="N165" s="2">
        <v>0</v>
      </c>
      <c r="O165" s="2">
        <v>1390988</v>
      </c>
      <c r="P165" t="s">
        <v>24</v>
      </c>
      <c r="Q165" t="s">
        <v>24</v>
      </c>
    </row>
    <row r="166" spans="1:17" x14ac:dyDescent="0.25">
      <c r="A166" t="s">
        <v>6515</v>
      </c>
      <c r="B166" t="s">
        <v>6516</v>
      </c>
      <c r="C166" s="1">
        <v>41275</v>
      </c>
      <c r="D166" s="1">
        <v>41639</v>
      </c>
      <c r="E166" t="s">
        <v>6517</v>
      </c>
      <c r="G166" t="s">
        <v>77</v>
      </c>
      <c r="H166" t="s">
        <v>78</v>
      </c>
      <c r="I166" t="str">
        <f>"40207"</f>
        <v>40207</v>
      </c>
      <c r="J166" t="s">
        <v>22</v>
      </c>
      <c r="K166" t="s">
        <v>23</v>
      </c>
      <c r="L166" s="2">
        <v>47638014</v>
      </c>
      <c r="M166" s="2">
        <v>21046207</v>
      </c>
      <c r="N166" s="2">
        <v>0</v>
      </c>
      <c r="O166" s="2">
        <v>2728949</v>
      </c>
      <c r="P166" t="s">
        <v>24</v>
      </c>
      <c r="Q166" t="s">
        <v>24</v>
      </c>
    </row>
    <row r="167" spans="1:17" x14ac:dyDescent="0.25">
      <c r="A167" t="s">
        <v>3421</v>
      </c>
      <c r="B167" t="s">
        <v>3422</v>
      </c>
      <c r="C167" s="1">
        <v>41609</v>
      </c>
      <c r="D167" s="1">
        <v>41973</v>
      </c>
      <c r="E167" t="s">
        <v>3423</v>
      </c>
      <c r="G167" t="s">
        <v>1765</v>
      </c>
      <c r="H167" t="s">
        <v>78</v>
      </c>
      <c r="I167" t="str">
        <f>"41017"</f>
        <v>41017</v>
      </c>
      <c r="J167" t="s">
        <v>22</v>
      </c>
      <c r="K167" t="s">
        <v>23</v>
      </c>
      <c r="L167" s="2">
        <v>46937570</v>
      </c>
      <c r="M167" s="2">
        <v>17902945</v>
      </c>
      <c r="N167" s="2">
        <v>35123</v>
      </c>
      <c r="O167" s="2">
        <v>2740170</v>
      </c>
      <c r="P167" t="s">
        <v>24</v>
      </c>
      <c r="Q167" t="s">
        <v>24</v>
      </c>
    </row>
    <row r="168" spans="1:17" x14ac:dyDescent="0.25">
      <c r="A168" t="s">
        <v>4185</v>
      </c>
      <c r="B168" t="s">
        <v>4186</v>
      </c>
      <c r="C168" s="1">
        <v>41275</v>
      </c>
      <c r="D168" s="1">
        <v>41639</v>
      </c>
      <c r="E168" t="s">
        <v>4187</v>
      </c>
      <c r="G168" t="s">
        <v>4188</v>
      </c>
      <c r="H168" t="s">
        <v>62</v>
      </c>
      <c r="I168" t="str">
        <f>"44124"</f>
        <v>44124</v>
      </c>
      <c r="J168" t="s">
        <v>22</v>
      </c>
      <c r="K168" t="s">
        <v>23</v>
      </c>
      <c r="L168" s="2">
        <v>46377213</v>
      </c>
      <c r="M168" s="2">
        <v>8555016</v>
      </c>
      <c r="N168" s="2">
        <v>0</v>
      </c>
      <c r="O168" s="2">
        <v>8078605</v>
      </c>
      <c r="P168" t="s">
        <v>24</v>
      </c>
      <c r="Q168" t="s">
        <v>24</v>
      </c>
    </row>
    <row r="169" spans="1:17" x14ac:dyDescent="0.25">
      <c r="A169" t="s">
        <v>7396</v>
      </c>
      <c r="B169" t="s">
        <v>7397</v>
      </c>
      <c r="C169" s="1">
        <v>41275</v>
      </c>
      <c r="D169" s="1">
        <v>41639</v>
      </c>
      <c r="E169" t="s">
        <v>7398</v>
      </c>
      <c r="G169" t="s">
        <v>2785</v>
      </c>
      <c r="H169" t="s">
        <v>62</v>
      </c>
      <c r="I169" t="str">
        <f>"45504"</f>
        <v>45504</v>
      </c>
      <c r="J169" t="s">
        <v>22</v>
      </c>
      <c r="K169" t="s">
        <v>30</v>
      </c>
      <c r="L169" s="2">
        <v>45967152</v>
      </c>
      <c r="M169" s="2">
        <v>25415213</v>
      </c>
      <c r="N169" s="2">
        <v>0</v>
      </c>
      <c r="O169" s="2">
        <v>1965624</v>
      </c>
      <c r="P169" t="s">
        <v>24</v>
      </c>
      <c r="Q169" t="s">
        <v>24</v>
      </c>
    </row>
    <row r="170" spans="1:17" x14ac:dyDescent="0.25">
      <c r="A170" t="s">
        <v>2442</v>
      </c>
      <c r="B170" t="s">
        <v>2443</v>
      </c>
      <c r="C170" s="1">
        <v>41275</v>
      </c>
      <c r="D170" s="1">
        <v>41639</v>
      </c>
      <c r="E170" t="s">
        <v>2444</v>
      </c>
      <c r="G170" t="s">
        <v>28</v>
      </c>
      <c r="H170" t="s">
        <v>29</v>
      </c>
      <c r="I170" t="str">
        <f>"60603"</f>
        <v>60603</v>
      </c>
      <c r="J170" t="s">
        <v>22</v>
      </c>
      <c r="K170" t="s">
        <v>23</v>
      </c>
      <c r="L170" s="2">
        <v>45928381</v>
      </c>
      <c r="M170" s="2">
        <v>4391998</v>
      </c>
      <c r="N170" s="2">
        <v>0</v>
      </c>
      <c r="O170" s="2">
        <v>2257268</v>
      </c>
      <c r="P170" t="s">
        <v>24</v>
      </c>
      <c r="Q170" t="s">
        <v>24</v>
      </c>
    </row>
    <row r="171" spans="1:17" x14ac:dyDescent="0.25">
      <c r="A171" t="s">
        <v>3251</v>
      </c>
      <c r="B171" t="s">
        <v>3252</v>
      </c>
      <c r="C171" s="1">
        <v>41091</v>
      </c>
      <c r="D171" s="1">
        <v>41455</v>
      </c>
      <c r="E171" t="s">
        <v>3253</v>
      </c>
      <c r="G171" t="s">
        <v>28</v>
      </c>
      <c r="H171" t="s">
        <v>29</v>
      </c>
      <c r="I171" t="str">
        <f>"60603"</f>
        <v>60603</v>
      </c>
      <c r="J171" t="s">
        <v>22</v>
      </c>
      <c r="K171" t="s">
        <v>30</v>
      </c>
      <c r="L171" s="2">
        <v>45091141</v>
      </c>
      <c r="M171" s="2">
        <v>20790768</v>
      </c>
      <c r="N171" s="2">
        <v>0</v>
      </c>
      <c r="O171" s="2">
        <v>2561677</v>
      </c>
      <c r="P171" t="s">
        <v>24</v>
      </c>
      <c r="Q171" t="s">
        <v>24</v>
      </c>
    </row>
    <row r="172" spans="1:17" x14ac:dyDescent="0.25">
      <c r="A172" t="s">
        <v>6868</v>
      </c>
      <c r="B172" t="s">
        <v>6869</v>
      </c>
      <c r="C172" s="1">
        <v>41275</v>
      </c>
      <c r="D172" s="1">
        <v>41639</v>
      </c>
      <c r="E172" t="s">
        <v>6870</v>
      </c>
      <c r="F172" t="s">
        <v>6871</v>
      </c>
      <c r="G172" t="s">
        <v>783</v>
      </c>
      <c r="H172" t="s">
        <v>21</v>
      </c>
      <c r="I172" t="str">
        <f>"46032"</f>
        <v>46032</v>
      </c>
      <c r="J172" t="s">
        <v>63</v>
      </c>
      <c r="K172" t="s">
        <v>64</v>
      </c>
      <c r="L172" s="2">
        <v>44991739</v>
      </c>
      <c r="M172" s="2">
        <v>5943774</v>
      </c>
      <c r="N172" s="2">
        <v>2305743</v>
      </c>
      <c r="O172" s="2">
        <v>4228704</v>
      </c>
      <c r="P172" s="2">
        <v>335046</v>
      </c>
      <c r="Q172" s="2">
        <v>147338</v>
      </c>
    </row>
    <row r="173" spans="1:17" x14ac:dyDescent="0.25">
      <c r="A173" t="s">
        <v>5658</v>
      </c>
      <c r="B173" t="s">
        <v>5659</v>
      </c>
      <c r="C173" s="1">
        <v>41275</v>
      </c>
      <c r="D173" s="1">
        <v>41639</v>
      </c>
      <c r="E173" t="s">
        <v>5660</v>
      </c>
      <c r="G173" t="s">
        <v>428</v>
      </c>
      <c r="H173" t="s">
        <v>29</v>
      </c>
      <c r="I173" t="str">
        <f>"60178"</f>
        <v>60178</v>
      </c>
      <c r="J173" t="s">
        <v>63</v>
      </c>
      <c r="K173" t="s">
        <v>64</v>
      </c>
      <c r="L173" s="2">
        <v>44112367</v>
      </c>
      <c r="M173" s="2">
        <v>4281782</v>
      </c>
      <c r="N173" s="2">
        <v>4153434</v>
      </c>
      <c r="O173" s="2">
        <v>1844710</v>
      </c>
      <c r="P173" s="2">
        <v>266483</v>
      </c>
      <c r="Q173" s="2">
        <v>60307</v>
      </c>
    </row>
    <row r="174" spans="1:17" x14ac:dyDescent="0.25">
      <c r="A174" t="s">
        <v>2546</v>
      </c>
      <c r="B174" t="s">
        <v>2547</v>
      </c>
      <c r="C174" s="1">
        <v>41275</v>
      </c>
      <c r="D174" s="1">
        <v>41639</v>
      </c>
      <c r="E174" t="s">
        <v>2548</v>
      </c>
      <c r="G174" t="s">
        <v>2549</v>
      </c>
      <c r="H174" t="s">
        <v>42</v>
      </c>
      <c r="I174" t="str">
        <f>"54403"</f>
        <v>54403</v>
      </c>
      <c r="J174" t="s">
        <v>63</v>
      </c>
      <c r="K174" t="s">
        <v>64</v>
      </c>
      <c r="L174" s="2">
        <v>43671784</v>
      </c>
      <c r="M174" s="2">
        <v>4643651</v>
      </c>
      <c r="N174" s="2">
        <v>7252830</v>
      </c>
      <c r="O174" s="2">
        <v>1919787</v>
      </c>
      <c r="P174" s="2">
        <v>181288</v>
      </c>
      <c r="Q174" s="2">
        <v>43584</v>
      </c>
    </row>
    <row r="175" spans="1:17" x14ac:dyDescent="0.25">
      <c r="A175" t="s">
        <v>2238</v>
      </c>
      <c r="B175" t="s">
        <v>2239</v>
      </c>
      <c r="C175" s="1">
        <v>41275</v>
      </c>
      <c r="D175" s="1">
        <v>41639</v>
      </c>
      <c r="E175" t="s">
        <v>2240</v>
      </c>
      <c r="G175" t="s">
        <v>2241</v>
      </c>
      <c r="H175" t="s">
        <v>47</v>
      </c>
      <c r="I175" t="str">
        <f>"48060"</f>
        <v>48060</v>
      </c>
      <c r="J175" t="s">
        <v>63</v>
      </c>
      <c r="K175" t="s">
        <v>64</v>
      </c>
      <c r="L175" s="2">
        <v>43541992</v>
      </c>
      <c r="M175" s="2">
        <v>10604797</v>
      </c>
      <c r="N175" s="2">
        <v>1704953</v>
      </c>
      <c r="O175" s="2">
        <v>4070560</v>
      </c>
      <c r="P175" s="2">
        <v>542808</v>
      </c>
      <c r="Q175" s="2">
        <v>227481</v>
      </c>
    </row>
    <row r="176" spans="1:17" x14ac:dyDescent="0.25">
      <c r="A176" t="s">
        <v>1320</v>
      </c>
      <c r="B176" t="s">
        <v>1321</v>
      </c>
      <c r="C176" s="1">
        <v>40909</v>
      </c>
      <c r="D176" s="1">
        <v>41274</v>
      </c>
      <c r="E176" t="s">
        <v>1322</v>
      </c>
      <c r="G176" t="s">
        <v>1323</v>
      </c>
      <c r="H176" t="s">
        <v>47</v>
      </c>
      <c r="I176" t="str">
        <f>"48036"</f>
        <v>48036</v>
      </c>
      <c r="J176" t="s">
        <v>22</v>
      </c>
      <c r="K176" t="s">
        <v>79</v>
      </c>
      <c r="L176" s="2">
        <v>43251706</v>
      </c>
      <c r="M176" s="2">
        <v>18189673</v>
      </c>
      <c r="N176" s="2">
        <v>9963000</v>
      </c>
      <c r="O176" s="2">
        <v>2318984</v>
      </c>
      <c r="P176" t="s">
        <v>24</v>
      </c>
      <c r="Q176" t="s">
        <v>24</v>
      </c>
    </row>
    <row r="177" spans="1:17" x14ac:dyDescent="0.25">
      <c r="A177" t="s">
        <v>2235</v>
      </c>
      <c r="B177" t="s">
        <v>2236</v>
      </c>
      <c r="C177" s="1">
        <v>41275</v>
      </c>
      <c r="D177" s="1">
        <v>41639</v>
      </c>
      <c r="E177" t="s">
        <v>2237</v>
      </c>
      <c r="G177" t="s">
        <v>684</v>
      </c>
      <c r="H177" t="s">
        <v>21</v>
      </c>
      <c r="I177" t="str">
        <f>"47905"</f>
        <v>47905</v>
      </c>
      <c r="J177" t="s">
        <v>63</v>
      </c>
      <c r="K177" t="s">
        <v>64</v>
      </c>
      <c r="L177" s="2">
        <v>43243750</v>
      </c>
      <c r="M177" s="2">
        <v>3811105</v>
      </c>
      <c r="N177" s="2">
        <v>13103607</v>
      </c>
      <c r="O177" s="2">
        <v>1802493</v>
      </c>
      <c r="P177" s="2">
        <v>216828</v>
      </c>
      <c r="Q177" s="2">
        <v>212124</v>
      </c>
    </row>
    <row r="178" spans="1:17" x14ac:dyDescent="0.25">
      <c r="A178" t="s">
        <v>5888</v>
      </c>
      <c r="B178" t="s">
        <v>5889</v>
      </c>
      <c r="C178" s="1">
        <v>40909</v>
      </c>
      <c r="D178" s="1">
        <v>41274</v>
      </c>
      <c r="E178" t="s">
        <v>489</v>
      </c>
      <c r="G178" t="s">
        <v>337</v>
      </c>
      <c r="H178" t="s">
        <v>62</v>
      </c>
      <c r="I178" t="str">
        <f>"44101"</f>
        <v>44101</v>
      </c>
      <c r="J178" t="s">
        <v>752</v>
      </c>
      <c r="K178" t="s">
        <v>23</v>
      </c>
      <c r="L178" s="2">
        <v>43074264</v>
      </c>
      <c r="M178" s="2">
        <v>12069170</v>
      </c>
      <c r="N178" s="2">
        <v>0</v>
      </c>
      <c r="O178" s="2">
        <v>2344152</v>
      </c>
      <c r="P178" t="s">
        <v>24</v>
      </c>
      <c r="Q178" t="s">
        <v>24</v>
      </c>
    </row>
    <row r="179" spans="1:17" x14ac:dyDescent="0.25">
      <c r="A179" t="s">
        <v>4195</v>
      </c>
      <c r="B179" t="s">
        <v>4196</v>
      </c>
      <c r="C179" s="1">
        <v>41275</v>
      </c>
      <c r="D179" s="1">
        <v>41639</v>
      </c>
      <c r="E179" t="s">
        <v>4197</v>
      </c>
      <c r="G179" t="s">
        <v>28</v>
      </c>
      <c r="H179" t="s">
        <v>29</v>
      </c>
      <c r="I179" t="str">
        <f>"60611"</f>
        <v>60611</v>
      </c>
      <c r="J179" t="s">
        <v>22</v>
      </c>
      <c r="K179" t="s">
        <v>30</v>
      </c>
      <c r="L179" s="2">
        <v>42895343</v>
      </c>
      <c r="M179" s="2">
        <v>10081403</v>
      </c>
      <c r="N179" s="2">
        <v>473875</v>
      </c>
      <c r="O179" s="2">
        <v>2312115</v>
      </c>
      <c r="P179" t="s">
        <v>24</v>
      </c>
      <c r="Q179" t="s">
        <v>24</v>
      </c>
    </row>
    <row r="180" spans="1:17" x14ac:dyDescent="0.25">
      <c r="A180" t="s">
        <v>1169</v>
      </c>
      <c r="B180" t="s">
        <v>1170</v>
      </c>
      <c r="C180" s="1">
        <v>41456</v>
      </c>
      <c r="D180" s="1">
        <v>41820</v>
      </c>
      <c r="E180" t="s">
        <v>1171</v>
      </c>
      <c r="G180" t="s">
        <v>1172</v>
      </c>
      <c r="H180" t="s">
        <v>42</v>
      </c>
      <c r="I180" t="str">
        <f>"53548"</f>
        <v>53548</v>
      </c>
      <c r="J180" t="s">
        <v>63</v>
      </c>
      <c r="K180" t="s">
        <v>64</v>
      </c>
      <c r="L180" s="2">
        <v>42796520</v>
      </c>
      <c r="M180" s="2">
        <v>8367870</v>
      </c>
      <c r="N180" s="2">
        <v>4269212</v>
      </c>
      <c r="O180" s="2">
        <v>3458686</v>
      </c>
      <c r="P180" s="2">
        <v>316407</v>
      </c>
      <c r="Q180" s="2">
        <v>90264</v>
      </c>
    </row>
    <row r="181" spans="1:17" x14ac:dyDescent="0.25">
      <c r="A181" t="s">
        <v>6973</v>
      </c>
      <c r="B181" t="s">
        <v>6974</v>
      </c>
      <c r="C181" s="1">
        <v>40909</v>
      </c>
      <c r="D181" s="1">
        <v>41274</v>
      </c>
      <c r="E181" t="s">
        <v>1268</v>
      </c>
      <c r="G181" t="s">
        <v>28</v>
      </c>
      <c r="H181" t="s">
        <v>29</v>
      </c>
      <c r="I181" t="str">
        <f>"60606"</f>
        <v>60606</v>
      </c>
      <c r="J181" t="s">
        <v>22</v>
      </c>
      <c r="K181" t="s">
        <v>30</v>
      </c>
      <c r="L181" s="2">
        <v>42638735</v>
      </c>
      <c r="M181" s="2">
        <v>16116700</v>
      </c>
      <c r="N181" s="2">
        <v>150</v>
      </c>
      <c r="O181" s="2">
        <v>9104580</v>
      </c>
      <c r="P181" t="s">
        <v>24</v>
      </c>
      <c r="Q181" t="s">
        <v>24</v>
      </c>
    </row>
    <row r="182" spans="1:17" x14ac:dyDescent="0.25">
      <c r="A182" t="s">
        <v>496</v>
      </c>
      <c r="B182" t="s">
        <v>497</v>
      </c>
      <c r="C182" s="1">
        <v>41091</v>
      </c>
      <c r="D182" s="1">
        <v>41455</v>
      </c>
      <c r="E182" t="s">
        <v>498</v>
      </c>
      <c r="G182" t="s">
        <v>499</v>
      </c>
      <c r="H182" t="s">
        <v>78</v>
      </c>
      <c r="I182" t="str">
        <f>"40351"</f>
        <v>40351</v>
      </c>
      <c r="J182" t="s">
        <v>63</v>
      </c>
      <c r="K182" t="s">
        <v>30</v>
      </c>
      <c r="L182" s="2">
        <v>42252824</v>
      </c>
      <c r="M182" s="2">
        <v>4150458</v>
      </c>
      <c r="N182" s="2">
        <v>13290307</v>
      </c>
      <c r="O182" s="2">
        <v>2948196</v>
      </c>
      <c r="P182" s="2">
        <v>262469</v>
      </c>
      <c r="Q182" s="2">
        <v>34775</v>
      </c>
    </row>
    <row r="183" spans="1:17" x14ac:dyDescent="0.25">
      <c r="A183" t="s">
        <v>4403</v>
      </c>
      <c r="B183" t="s">
        <v>4404</v>
      </c>
      <c r="C183" s="1">
        <v>41091</v>
      </c>
      <c r="D183" s="1">
        <v>41455</v>
      </c>
      <c r="E183" t="s">
        <v>4403</v>
      </c>
      <c r="F183" t="s">
        <v>4405</v>
      </c>
      <c r="G183" t="s">
        <v>4207</v>
      </c>
      <c r="H183" t="s">
        <v>62</v>
      </c>
      <c r="I183" t="str">
        <f>"43302"</f>
        <v>43302</v>
      </c>
      <c r="J183" t="s">
        <v>63</v>
      </c>
      <c r="K183" t="s">
        <v>64</v>
      </c>
      <c r="L183" s="2">
        <v>42132950</v>
      </c>
      <c r="M183" s="2">
        <v>4439856</v>
      </c>
      <c r="N183" s="2">
        <v>4078921</v>
      </c>
      <c r="O183" s="2">
        <v>2167862</v>
      </c>
      <c r="P183" s="2">
        <v>403445</v>
      </c>
      <c r="Q183" s="2">
        <v>13590</v>
      </c>
    </row>
    <row r="184" spans="1:17" x14ac:dyDescent="0.25">
      <c r="A184" t="s">
        <v>25</v>
      </c>
      <c r="B184" t="s">
        <v>26</v>
      </c>
      <c r="C184" s="1">
        <v>41579</v>
      </c>
      <c r="D184" s="1">
        <v>41943</v>
      </c>
      <c r="E184" t="s">
        <v>27</v>
      </c>
      <c r="G184" t="s">
        <v>28</v>
      </c>
      <c r="H184" t="s">
        <v>29</v>
      </c>
      <c r="I184" t="str">
        <f>"60611"</f>
        <v>60611</v>
      </c>
      <c r="J184" t="s">
        <v>22</v>
      </c>
      <c r="K184" t="s">
        <v>30</v>
      </c>
      <c r="L184" s="2">
        <v>41885602</v>
      </c>
      <c r="M184" s="2">
        <v>12138433</v>
      </c>
      <c r="N184" s="2">
        <v>0</v>
      </c>
      <c r="O184" s="2">
        <v>1427584</v>
      </c>
      <c r="P184" t="s">
        <v>24</v>
      </c>
      <c r="Q184" t="s">
        <v>24</v>
      </c>
    </row>
    <row r="185" spans="1:17" x14ac:dyDescent="0.25">
      <c r="A185" t="s">
        <v>3921</v>
      </c>
      <c r="B185" t="s">
        <v>3922</v>
      </c>
      <c r="C185" s="1">
        <v>41275</v>
      </c>
      <c r="D185" s="1">
        <v>41639</v>
      </c>
      <c r="E185" t="s">
        <v>3923</v>
      </c>
      <c r="G185" t="s">
        <v>3779</v>
      </c>
      <c r="H185" t="s">
        <v>62</v>
      </c>
      <c r="I185" t="str">
        <f>"44124"</f>
        <v>44124</v>
      </c>
      <c r="J185" t="s">
        <v>22</v>
      </c>
      <c r="K185" t="s">
        <v>30</v>
      </c>
      <c r="L185" s="2">
        <v>41821849</v>
      </c>
      <c r="M185" s="2">
        <v>8710568</v>
      </c>
      <c r="N185" s="2">
        <v>0</v>
      </c>
      <c r="O185" s="2">
        <v>7548142</v>
      </c>
      <c r="P185" t="s">
        <v>24</v>
      </c>
      <c r="Q185" t="s">
        <v>24</v>
      </c>
    </row>
    <row r="186" spans="1:17" x14ac:dyDescent="0.25">
      <c r="A186" t="s">
        <v>689</v>
      </c>
      <c r="B186" t="s">
        <v>690</v>
      </c>
      <c r="C186" s="1">
        <v>41091</v>
      </c>
      <c r="D186" s="1">
        <v>41455</v>
      </c>
      <c r="E186" t="s">
        <v>515</v>
      </c>
      <c r="F186" t="s">
        <v>516</v>
      </c>
      <c r="G186" t="s">
        <v>517</v>
      </c>
      <c r="H186" t="s">
        <v>62</v>
      </c>
      <c r="I186" t="str">
        <f>"45423"</f>
        <v>45423</v>
      </c>
      <c r="J186" t="s">
        <v>63</v>
      </c>
      <c r="K186" t="s">
        <v>64</v>
      </c>
      <c r="L186" s="2">
        <v>41664973</v>
      </c>
      <c r="M186" s="2">
        <v>3054057</v>
      </c>
      <c r="N186" s="2">
        <v>1102108</v>
      </c>
      <c r="O186" s="2">
        <v>3393304</v>
      </c>
      <c r="P186" s="2">
        <v>435798</v>
      </c>
      <c r="Q186" s="2">
        <v>0</v>
      </c>
    </row>
    <row r="187" spans="1:17" x14ac:dyDescent="0.25">
      <c r="A187" t="s">
        <v>7599</v>
      </c>
      <c r="B187" t="s">
        <v>7600</v>
      </c>
      <c r="C187" s="1">
        <v>41183</v>
      </c>
      <c r="D187" s="1">
        <v>41547</v>
      </c>
      <c r="E187" t="s">
        <v>7601</v>
      </c>
      <c r="G187" t="s">
        <v>974</v>
      </c>
      <c r="H187" t="s">
        <v>21</v>
      </c>
      <c r="I187" t="str">
        <f>"47803"</f>
        <v>47803</v>
      </c>
      <c r="J187" t="s">
        <v>63</v>
      </c>
      <c r="K187" t="s">
        <v>64</v>
      </c>
      <c r="L187" s="2">
        <v>41510929</v>
      </c>
      <c r="M187" s="2">
        <v>3453093</v>
      </c>
      <c r="N187" s="2">
        <v>3790235</v>
      </c>
      <c r="O187" s="2">
        <v>2139708</v>
      </c>
      <c r="P187" s="2">
        <v>560857</v>
      </c>
      <c r="Q187" s="2">
        <v>86471</v>
      </c>
    </row>
    <row r="188" spans="1:17" x14ac:dyDescent="0.25">
      <c r="A188" t="s">
        <v>5208</v>
      </c>
      <c r="B188" t="s">
        <v>5209</v>
      </c>
      <c r="C188" s="1">
        <v>41275</v>
      </c>
      <c r="D188" s="1">
        <v>41639</v>
      </c>
      <c r="E188" t="s">
        <v>5210</v>
      </c>
      <c r="G188" t="s">
        <v>5211</v>
      </c>
      <c r="H188" t="s">
        <v>42</v>
      </c>
      <c r="I188" t="str">
        <f>"54452"</f>
        <v>54452</v>
      </c>
      <c r="J188" t="s">
        <v>22</v>
      </c>
      <c r="K188" t="s">
        <v>23</v>
      </c>
      <c r="L188" s="2">
        <v>40541853</v>
      </c>
      <c r="M188" s="2">
        <v>18029385</v>
      </c>
      <c r="N188" s="2">
        <v>6830</v>
      </c>
      <c r="O188" s="2">
        <v>2145778</v>
      </c>
      <c r="P188" t="s">
        <v>24</v>
      </c>
      <c r="Q188" t="s">
        <v>24</v>
      </c>
    </row>
    <row r="189" spans="1:17" x14ac:dyDescent="0.25">
      <c r="A189" t="s">
        <v>5597</v>
      </c>
      <c r="B189" t="s">
        <v>5598</v>
      </c>
      <c r="C189" s="1">
        <v>41275</v>
      </c>
      <c r="D189" s="1">
        <v>41639</v>
      </c>
      <c r="E189" t="s">
        <v>5599</v>
      </c>
      <c r="G189" t="s">
        <v>2976</v>
      </c>
      <c r="H189" t="s">
        <v>42</v>
      </c>
      <c r="I189" t="str">
        <f>"54615"</f>
        <v>54615</v>
      </c>
      <c r="J189" t="s">
        <v>22</v>
      </c>
      <c r="K189" t="s">
        <v>23</v>
      </c>
      <c r="L189" s="2">
        <v>40437530</v>
      </c>
      <c r="M189" s="2">
        <v>834083</v>
      </c>
      <c r="N189" s="2">
        <v>249165</v>
      </c>
      <c r="O189" s="2">
        <v>2350436</v>
      </c>
      <c r="P189" t="s">
        <v>24</v>
      </c>
      <c r="Q189" t="s">
        <v>24</v>
      </c>
    </row>
    <row r="190" spans="1:17" x14ac:dyDescent="0.25">
      <c r="A190" t="s">
        <v>3932</v>
      </c>
      <c r="B190" t="s">
        <v>3933</v>
      </c>
      <c r="C190" s="1">
        <v>41091</v>
      </c>
      <c r="D190" s="1">
        <v>41455</v>
      </c>
      <c r="E190" t="s">
        <v>3934</v>
      </c>
      <c r="G190" t="s">
        <v>1028</v>
      </c>
      <c r="H190" t="s">
        <v>47</v>
      </c>
      <c r="I190" t="str">
        <f>"48104"</f>
        <v>48104</v>
      </c>
      <c r="J190" t="s">
        <v>63</v>
      </c>
      <c r="K190" t="s">
        <v>64</v>
      </c>
      <c r="L190" s="2">
        <v>40367434</v>
      </c>
      <c r="M190" s="2">
        <v>23571429</v>
      </c>
      <c r="N190" s="2">
        <v>9878249</v>
      </c>
      <c r="O190" s="2">
        <v>5685614</v>
      </c>
      <c r="P190" s="2">
        <v>672584</v>
      </c>
      <c r="Q190" s="2">
        <v>0</v>
      </c>
    </row>
    <row r="191" spans="1:17" x14ac:dyDescent="0.25">
      <c r="A191" t="s">
        <v>5450</v>
      </c>
      <c r="B191" t="s">
        <v>5451</v>
      </c>
      <c r="C191" s="1">
        <v>41275</v>
      </c>
      <c r="D191" s="1">
        <v>41639</v>
      </c>
      <c r="E191" t="s">
        <v>5452</v>
      </c>
      <c r="G191" t="s">
        <v>5453</v>
      </c>
      <c r="H191" t="s">
        <v>42</v>
      </c>
      <c r="I191" t="str">
        <f>"53050"</f>
        <v>53050</v>
      </c>
      <c r="J191" t="s">
        <v>22</v>
      </c>
      <c r="K191" t="s">
        <v>30</v>
      </c>
      <c r="L191" s="2">
        <v>40320645</v>
      </c>
      <c r="M191" s="2">
        <v>4341520</v>
      </c>
      <c r="N191" s="2">
        <v>0</v>
      </c>
      <c r="O191" s="2">
        <v>1928162</v>
      </c>
      <c r="P191" t="s">
        <v>24</v>
      </c>
      <c r="Q191" t="s">
        <v>24</v>
      </c>
    </row>
    <row r="192" spans="1:17" x14ac:dyDescent="0.25">
      <c r="A192" t="s">
        <v>6761</v>
      </c>
      <c r="B192" t="s">
        <v>6762</v>
      </c>
      <c r="C192" s="1">
        <v>40909</v>
      </c>
      <c r="D192" s="1">
        <v>41274</v>
      </c>
      <c r="E192" t="s">
        <v>6763</v>
      </c>
      <c r="G192" t="s">
        <v>3679</v>
      </c>
      <c r="H192" t="s">
        <v>42</v>
      </c>
      <c r="I192" t="str">
        <f>"54903"</f>
        <v>54903</v>
      </c>
      <c r="J192" t="s">
        <v>22</v>
      </c>
      <c r="K192" t="s">
        <v>30</v>
      </c>
      <c r="L192" s="2">
        <v>40289982</v>
      </c>
      <c r="M192" s="2">
        <v>22952284</v>
      </c>
      <c r="N192" s="2">
        <v>0</v>
      </c>
      <c r="O192" s="2">
        <v>1461706</v>
      </c>
      <c r="P192" t="s">
        <v>24</v>
      </c>
      <c r="Q192" t="s">
        <v>24</v>
      </c>
    </row>
    <row r="193" spans="1:17" x14ac:dyDescent="0.25">
      <c r="A193" t="s">
        <v>5989</v>
      </c>
      <c r="B193" t="s">
        <v>5990</v>
      </c>
      <c r="C193" s="1">
        <v>41275</v>
      </c>
      <c r="D193" s="1">
        <v>41639</v>
      </c>
      <c r="E193" t="s">
        <v>5991</v>
      </c>
      <c r="G193" t="s">
        <v>5992</v>
      </c>
      <c r="H193" t="s">
        <v>42</v>
      </c>
      <c r="I193" t="str">
        <f>"54612"</f>
        <v>54612</v>
      </c>
      <c r="J193" t="s">
        <v>22</v>
      </c>
      <c r="K193" t="s">
        <v>23</v>
      </c>
      <c r="L193" s="2">
        <v>40213922</v>
      </c>
      <c r="M193" s="2">
        <v>65238742</v>
      </c>
      <c r="N193" s="2">
        <v>0</v>
      </c>
      <c r="O193" s="2">
        <v>12691900</v>
      </c>
      <c r="P193" t="s">
        <v>24</v>
      </c>
      <c r="Q193" t="s">
        <v>24</v>
      </c>
    </row>
    <row r="194" spans="1:17" x14ac:dyDescent="0.25">
      <c r="A194" t="s">
        <v>1754</v>
      </c>
      <c r="B194" t="s">
        <v>1755</v>
      </c>
      <c r="C194" s="1">
        <v>41275</v>
      </c>
      <c r="D194" s="1">
        <v>41639</v>
      </c>
      <c r="E194" t="s">
        <v>1756</v>
      </c>
      <c r="G194" t="s">
        <v>1757</v>
      </c>
      <c r="H194" t="s">
        <v>47</v>
      </c>
      <c r="I194" t="str">
        <f>"49007"</f>
        <v>49007</v>
      </c>
      <c r="J194" t="s">
        <v>22</v>
      </c>
      <c r="K194" t="s">
        <v>23</v>
      </c>
      <c r="L194" s="2">
        <v>40127452</v>
      </c>
      <c r="M194" s="2">
        <v>13299760</v>
      </c>
      <c r="N194" s="2">
        <v>384</v>
      </c>
      <c r="O194" s="2">
        <v>2359360</v>
      </c>
      <c r="P194" t="s">
        <v>24</v>
      </c>
      <c r="Q194" t="s">
        <v>24</v>
      </c>
    </row>
    <row r="195" spans="1:17" x14ac:dyDescent="0.25">
      <c r="A195" t="s">
        <v>1815</v>
      </c>
      <c r="B195" t="s">
        <v>1816</v>
      </c>
      <c r="C195" s="1">
        <v>41456</v>
      </c>
      <c r="D195" s="1">
        <v>41820</v>
      </c>
      <c r="E195" t="s">
        <v>1817</v>
      </c>
      <c r="G195" t="s">
        <v>1818</v>
      </c>
      <c r="H195" t="s">
        <v>42</v>
      </c>
      <c r="I195" t="str">
        <f>"54016"</f>
        <v>54016</v>
      </c>
      <c r="J195" t="s">
        <v>63</v>
      </c>
      <c r="K195" t="s">
        <v>64</v>
      </c>
      <c r="L195" s="2">
        <v>39842838</v>
      </c>
      <c r="M195" s="2">
        <v>3585547</v>
      </c>
      <c r="N195" s="2">
        <v>19396879</v>
      </c>
      <c r="O195" s="2">
        <v>2063564</v>
      </c>
      <c r="P195" s="2">
        <v>205240</v>
      </c>
      <c r="Q195" s="2">
        <v>44497</v>
      </c>
    </row>
    <row r="196" spans="1:17" x14ac:dyDescent="0.25">
      <c r="A196" t="s">
        <v>3137</v>
      </c>
      <c r="B196" t="s">
        <v>3138</v>
      </c>
      <c r="C196" s="1">
        <v>41275</v>
      </c>
      <c r="D196" s="1">
        <v>41639</v>
      </c>
      <c r="E196" t="s">
        <v>3139</v>
      </c>
      <c r="G196" t="s">
        <v>2517</v>
      </c>
      <c r="H196" t="s">
        <v>21</v>
      </c>
      <c r="I196" t="str">
        <f>"46384"</f>
        <v>46384</v>
      </c>
      <c r="J196" t="s">
        <v>63</v>
      </c>
      <c r="K196" t="s">
        <v>64</v>
      </c>
      <c r="L196" s="2">
        <v>39699668</v>
      </c>
      <c r="M196" s="2">
        <v>7361100</v>
      </c>
      <c r="N196" s="2">
        <v>8548249</v>
      </c>
      <c r="O196" s="2">
        <v>2746496</v>
      </c>
      <c r="P196" s="2">
        <v>155983</v>
      </c>
      <c r="Q196" s="2">
        <v>403599</v>
      </c>
    </row>
    <row r="197" spans="1:17" x14ac:dyDescent="0.25">
      <c r="A197" t="s">
        <v>7156</v>
      </c>
      <c r="B197" t="s">
        <v>7157</v>
      </c>
      <c r="C197" s="1">
        <v>41275</v>
      </c>
      <c r="D197" s="1">
        <v>41639</v>
      </c>
      <c r="E197" t="s">
        <v>7158</v>
      </c>
      <c r="G197" t="s">
        <v>1730</v>
      </c>
      <c r="H197" t="s">
        <v>29</v>
      </c>
      <c r="I197" t="str">
        <f>"61265"</f>
        <v>61265</v>
      </c>
      <c r="J197" t="s">
        <v>22</v>
      </c>
      <c r="K197" t="s">
        <v>23</v>
      </c>
      <c r="L197" s="2">
        <v>39690469</v>
      </c>
      <c r="M197" s="2">
        <v>15537327</v>
      </c>
      <c r="N197" s="2">
        <v>171986</v>
      </c>
      <c r="O197" s="2">
        <v>1446910</v>
      </c>
      <c r="P197" t="s">
        <v>24</v>
      </c>
      <c r="Q197" t="s">
        <v>24</v>
      </c>
    </row>
    <row r="198" spans="1:17" x14ac:dyDescent="0.25">
      <c r="A198" t="s">
        <v>1471</v>
      </c>
      <c r="B198" t="s">
        <v>3366</v>
      </c>
      <c r="E198" t="s">
        <v>3367</v>
      </c>
      <c r="G198" t="s">
        <v>843</v>
      </c>
      <c r="H198" t="s">
        <v>29</v>
      </c>
      <c r="I198" t="str">
        <f>"61101"</f>
        <v>61101</v>
      </c>
      <c r="J198" t="s">
        <v>63</v>
      </c>
      <c r="K198" t="s">
        <v>64</v>
      </c>
      <c r="L198" s="2">
        <v>39683677</v>
      </c>
      <c r="M198" s="2">
        <v>5533866</v>
      </c>
      <c r="N198" s="2">
        <v>0</v>
      </c>
      <c r="O198" s="2">
        <v>5535383</v>
      </c>
      <c r="P198" s="2">
        <v>607734</v>
      </c>
      <c r="Q198" s="2">
        <v>0</v>
      </c>
    </row>
    <row r="199" spans="1:17" x14ac:dyDescent="0.25">
      <c r="A199" t="s">
        <v>5563</v>
      </c>
      <c r="B199" t="s">
        <v>5564</v>
      </c>
      <c r="C199" s="1">
        <v>41275</v>
      </c>
      <c r="D199" s="1">
        <v>41639</v>
      </c>
      <c r="E199" t="s">
        <v>5565</v>
      </c>
      <c r="G199" t="s">
        <v>1339</v>
      </c>
      <c r="H199" t="s">
        <v>47</v>
      </c>
      <c r="I199" t="str">
        <f>"48084"</f>
        <v>48084</v>
      </c>
      <c r="J199" t="s">
        <v>22</v>
      </c>
      <c r="K199" t="s">
        <v>30</v>
      </c>
      <c r="L199" s="2">
        <v>39594387</v>
      </c>
      <c r="M199" s="2">
        <v>5741935</v>
      </c>
      <c r="N199" s="2">
        <v>0</v>
      </c>
      <c r="O199" s="2">
        <v>1777318</v>
      </c>
      <c r="P199" t="s">
        <v>24</v>
      </c>
      <c r="Q199" t="s">
        <v>24</v>
      </c>
    </row>
    <row r="200" spans="1:17" x14ac:dyDescent="0.25">
      <c r="A200" t="s">
        <v>6887</v>
      </c>
      <c r="B200" t="s">
        <v>6888</v>
      </c>
      <c r="C200" s="1">
        <v>41275</v>
      </c>
      <c r="D200" s="1">
        <v>41639</v>
      </c>
      <c r="E200" t="s">
        <v>6889</v>
      </c>
      <c r="G200" t="s">
        <v>28</v>
      </c>
      <c r="H200" t="s">
        <v>29</v>
      </c>
      <c r="I200" t="str">
        <f>"60611"</f>
        <v>60611</v>
      </c>
      <c r="J200" t="s">
        <v>22</v>
      </c>
      <c r="K200" t="s">
        <v>30</v>
      </c>
      <c r="L200" s="2">
        <v>39587149</v>
      </c>
      <c r="M200" s="2">
        <v>39818330</v>
      </c>
      <c r="N200" s="2">
        <v>837653</v>
      </c>
      <c r="O200" s="2">
        <v>1725853</v>
      </c>
      <c r="P200" t="s">
        <v>24</v>
      </c>
      <c r="Q200" t="s">
        <v>24</v>
      </c>
    </row>
    <row r="201" spans="1:17" x14ac:dyDescent="0.25">
      <c r="A201" t="s">
        <v>6558</v>
      </c>
      <c r="B201" t="s">
        <v>6559</v>
      </c>
      <c r="C201" s="1">
        <v>41275</v>
      </c>
      <c r="D201" s="1">
        <v>41639</v>
      </c>
      <c r="E201" t="s">
        <v>6560</v>
      </c>
      <c r="G201" t="s">
        <v>28</v>
      </c>
      <c r="H201" t="s">
        <v>29</v>
      </c>
      <c r="I201" t="str">
        <f>"60602"</f>
        <v>60602</v>
      </c>
      <c r="J201" t="s">
        <v>22</v>
      </c>
      <c r="K201" t="s">
        <v>23</v>
      </c>
      <c r="L201" s="2">
        <v>39426744</v>
      </c>
      <c r="M201" s="2">
        <v>3309372</v>
      </c>
      <c r="N201" s="2">
        <v>0</v>
      </c>
      <c r="O201" s="2">
        <v>1681002</v>
      </c>
      <c r="P201" t="s">
        <v>24</v>
      </c>
      <c r="Q201" t="s">
        <v>24</v>
      </c>
    </row>
    <row r="202" spans="1:17" x14ac:dyDescent="0.25">
      <c r="A202" t="s">
        <v>3767</v>
      </c>
      <c r="B202" t="s">
        <v>3768</v>
      </c>
      <c r="C202" s="1">
        <v>41275</v>
      </c>
      <c r="D202" s="1">
        <v>41639</v>
      </c>
      <c r="E202" t="s">
        <v>352</v>
      </c>
      <c r="G202" t="s">
        <v>353</v>
      </c>
      <c r="H202" t="s">
        <v>62</v>
      </c>
      <c r="I202" t="str">
        <f>"43205"</f>
        <v>43205</v>
      </c>
      <c r="J202" t="s">
        <v>63</v>
      </c>
      <c r="K202" t="s">
        <v>79</v>
      </c>
      <c r="L202" s="2">
        <v>39363367</v>
      </c>
      <c r="M202" s="2">
        <v>693831</v>
      </c>
      <c r="N202" s="2">
        <v>0</v>
      </c>
      <c r="O202" s="2">
        <v>1341878</v>
      </c>
      <c r="P202" s="2">
        <v>64378</v>
      </c>
      <c r="Q202" s="2">
        <v>0</v>
      </c>
    </row>
    <row r="203" spans="1:17" x14ac:dyDescent="0.25">
      <c r="A203" t="s">
        <v>7067</v>
      </c>
      <c r="B203" t="s">
        <v>7068</v>
      </c>
      <c r="C203" s="1">
        <v>41275</v>
      </c>
      <c r="D203" s="1">
        <v>41639</v>
      </c>
      <c r="E203" t="s">
        <v>7069</v>
      </c>
      <c r="G203" t="s">
        <v>337</v>
      </c>
      <c r="H203" t="s">
        <v>62</v>
      </c>
      <c r="I203" t="str">
        <f>"44144"</f>
        <v>44144</v>
      </c>
      <c r="J203" t="s">
        <v>22</v>
      </c>
      <c r="K203" t="s">
        <v>23</v>
      </c>
      <c r="L203" s="2">
        <v>38306398</v>
      </c>
      <c r="M203" s="2">
        <v>7616509</v>
      </c>
      <c r="N203" s="2">
        <v>0</v>
      </c>
      <c r="O203" s="2">
        <v>1683655</v>
      </c>
      <c r="P203" t="s">
        <v>24</v>
      </c>
      <c r="Q203" t="s">
        <v>24</v>
      </c>
    </row>
    <row r="204" spans="1:17" x14ac:dyDescent="0.25">
      <c r="A204" t="s">
        <v>5773</v>
      </c>
      <c r="B204" t="s">
        <v>5774</v>
      </c>
      <c r="C204" s="1">
        <v>41275</v>
      </c>
      <c r="D204" s="1">
        <v>41639</v>
      </c>
      <c r="E204" t="s">
        <v>5775</v>
      </c>
      <c r="F204" t="s">
        <v>5776</v>
      </c>
      <c r="G204" t="s">
        <v>5777</v>
      </c>
      <c r="H204" t="s">
        <v>21</v>
      </c>
      <c r="I204" t="str">
        <f>"47933"</f>
        <v>47933</v>
      </c>
      <c r="J204" t="s">
        <v>63</v>
      </c>
      <c r="K204" t="s">
        <v>64</v>
      </c>
      <c r="L204" s="2">
        <v>38194030</v>
      </c>
      <c r="M204" s="2">
        <v>2266735</v>
      </c>
      <c r="N204" s="2">
        <v>2260763</v>
      </c>
      <c r="O204" s="2">
        <v>1877792</v>
      </c>
      <c r="P204" s="2">
        <v>262351</v>
      </c>
      <c r="Q204" s="2">
        <v>119812</v>
      </c>
    </row>
    <row r="205" spans="1:17" x14ac:dyDescent="0.25">
      <c r="A205" t="s">
        <v>6797</v>
      </c>
      <c r="B205" t="s">
        <v>6798</v>
      </c>
      <c r="C205" s="1">
        <v>41501</v>
      </c>
      <c r="D205" s="1">
        <v>41639</v>
      </c>
      <c r="E205" t="s">
        <v>2297</v>
      </c>
      <c r="G205" t="s">
        <v>364</v>
      </c>
      <c r="H205" t="s">
        <v>21</v>
      </c>
      <c r="I205" t="str">
        <f>"47702"</f>
        <v>47702</v>
      </c>
      <c r="J205" t="s">
        <v>22</v>
      </c>
      <c r="K205" t="s">
        <v>23</v>
      </c>
      <c r="L205" s="2">
        <v>38167899</v>
      </c>
      <c r="M205" s="2">
        <v>66219350</v>
      </c>
      <c r="N205" s="2">
        <v>0</v>
      </c>
      <c r="O205" s="2">
        <v>104870</v>
      </c>
      <c r="P205" t="s">
        <v>24</v>
      </c>
      <c r="Q205" t="s">
        <v>24</v>
      </c>
    </row>
    <row r="206" spans="1:17" x14ac:dyDescent="0.25">
      <c r="A206" t="s">
        <v>4520</v>
      </c>
      <c r="B206" t="s">
        <v>4521</v>
      </c>
      <c r="C206" s="1">
        <v>41275</v>
      </c>
      <c r="D206" s="1">
        <v>41639</v>
      </c>
      <c r="E206" t="s">
        <v>4522</v>
      </c>
      <c r="G206" t="s">
        <v>612</v>
      </c>
      <c r="H206" t="s">
        <v>42</v>
      </c>
      <c r="I206" t="str">
        <f>"53092"</f>
        <v>53092</v>
      </c>
      <c r="J206" t="s">
        <v>22</v>
      </c>
      <c r="K206" t="s">
        <v>30</v>
      </c>
      <c r="L206" s="2">
        <v>37825155</v>
      </c>
      <c r="M206" s="2">
        <v>26577864</v>
      </c>
      <c r="N206" s="2">
        <v>620</v>
      </c>
      <c r="O206" s="2">
        <v>1022076</v>
      </c>
      <c r="P206" t="s">
        <v>24</v>
      </c>
      <c r="Q206" t="s">
        <v>24</v>
      </c>
    </row>
    <row r="207" spans="1:17" x14ac:dyDescent="0.25">
      <c r="A207" t="s">
        <v>760</v>
      </c>
      <c r="B207" t="s">
        <v>761</v>
      </c>
      <c r="C207" s="1">
        <v>41275</v>
      </c>
      <c r="D207" s="1">
        <v>41639</v>
      </c>
      <c r="E207" t="s">
        <v>762</v>
      </c>
      <c r="F207" t="s">
        <v>763</v>
      </c>
      <c r="G207" t="s">
        <v>764</v>
      </c>
      <c r="H207" t="s">
        <v>62</v>
      </c>
      <c r="I207" t="str">
        <f>"43130"</f>
        <v>43130</v>
      </c>
      <c r="J207" t="s">
        <v>63</v>
      </c>
      <c r="K207" t="s">
        <v>64</v>
      </c>
      <c r="L207" s="2">
        <v>37397176</v>
      </c>
      <c r="M207" s="2">
        <v>3430002</v>
      </c>
      <c r="N207" s="2">
        <v>4221951</v>
      </c>
      <c r="O207" s="2">
        <v>2166915</v>
      </c>
      <c r="P207" s="2">
        <v>165193</v>
      </c>
      <c r="Q207" s="2">
        <v>83410</v>
      </c>
    </row>
    <row r="208" spans="1:17" x14ac:dyDescent="0.25">
      <c r="A208" t="s">
        <v>7503</v>
      </c>
      <c r="B208" t="s">
        <v>7504</v>
      </c>
      <c r="C208" s="1">
        <v>41306</v>
      </c>
      <c r="D208" s="1">
        <v>41670</v>
      </c>
      <c r="E208" t="s">
        <v>7505</v>
      </c>
      <c r="G208" t="s">
        <v>167</v>
      </c>
      <c r="H208" t="s">
        <v>62</v>
      </c>
      <c r="I208" t="str">
        <f>"45202"</f>
        <v>45202</v>
      </c>
      <c r="J208" t="s">
        <v>22</v>
      </c>
      <c r="K208" t="s">
        <v>23</v>
      </c>
      <c r="L208" s="2">
        <v>37395363</v>
      </c>
      <c r="M208" s="2">
        <v>7066434</v>
      </c>
      <c r="N208" s="2">
        <v>0</v>
      </c>
      <c r="O208" s="2">
        <v>9351693</v>
      </c>
      <c r="P208" t="s">
        <v>24</v>
      </c>
      <c r="Q208" t="s">
        <v>24</v>
      </c>
    </row>
    <row r="209" spans="1:17" x14ac:dyDescent="0.25">
      <c r="A209" t="s">
        <v>605</v>
      </c>
      <c r="B209" t="s">
        <v>606</v>
      </c>
      <c r="C209" s="1">
        <v>41275</v>
      </c>
      <c r="D209" s="1">
        <v>41639</v>
      </c>
      <c r="E209" t="s">
        <v>607</v>
      </c>
      <c r="F209" t="s">
        <v>608</v>
      </c>
      <c r="G209" t="s">
        <v>237</v>
      </c>
      <c r="H209" t="s">
        <v>42</v>
      </c>
      <c r="I209" t="str">
        <f>"54601"</f>
        <v>54601</v>
      </c>
      <c r="J209" t="s">
        <v>63</v>
      </c>
      <c r="K209" t="s">
        <v>79</v>
      </c>
      <c r="L209" s="2">
        <v>37266988</v>
      </c>
      <c r="M209" s="2">
        <v>4303958</v>
      </c>
      <c r="N209" s="2">
        <v>3371921</v>
      </c>
      <c r="O209" s="2">
        <v>2972631</v>
      </c>
      <c r="P209" s="2">
        <v>391610</v>
      </c>
      <c r="Q209" s="2">
        <v>27486</v>
      </c>
    </row>
    <row r="210" spans="1:17" x14ac:dyDescent="0.25">
      <c r="A210" t="s">
        <v>1266</v>
      </c>
      <c r="B210" t="s">
        <v>1267</v>
      </c>
      <c r="C210" s="1">
        <v>40909</v>
      </c>
      <c r="D210" s="1">
        <v>41274</v>
      </c>
      <c r="E210" t="s">
        <v>1268</v>
      </c>
      <c r="G210" t="s">
        <v>28</v>
      </c>
      <c r="H210" t="s">
        <v>29</v>
      </c>
      <c r="I210" t="str">
        <f>"60606"</f>
        <v>60606</v>
      </c>
      <c r="J210" t="s">
        <v>22</v>
      </c>
      <c r="K210" t="s">
        <v>30</v>
      </c>
      <c r="L210" s="2">
        <v>37145788</v>
      </c>
      <c r="M210" s="2">
        <v>46790867</v>
      </c>
      <c r="N210" s="2">
        <v>0</v>
      </c>
      <c r="O210" s="2">
        <v>15217651</v>
      </c>
      <c r="P210" t="s">
        <v>24</v>
      </c>
      <c r="Q210" t="s">
        <v>24</v>
      </c>
    </row>
    <row r="211" spans="1:17" x14ac:dyDescent="0.25">
      <c r="A211" t="s">
        <v>2907</v>
      </c>
      <c r="B211" t="s">
        <v>2908</v>
      </c>
      <c r="C211" s="1">
        <v>41306</v>
      </c>
      <c r="D211" s="1">
        <v>41670</v>
      </c>
      <c r="E211" t="s">
        <v>2909</v>
      </c>
      <c r="G211" t="s">
        <v>1010</v>
      </c>
      <c r="H211" t="s">
        <v>47</v>
      </c>
      <c r="I211" t="str">
        <f>"49684"</f>
        <v>49684</v>
      </c>
      <c r="J211" t="s">
        <v>22</v>
      </c>
      <c r="K211" t="s">
        <v>30</v>
      </c>
      <c r="L211" s="2">
        <v>36888285</v>
      </c>
      <c r="M211" s="2">
        <v>45325</v>
      </c>
      <c r="N211" s="2">
        <v>7347</v>
      </c>
      <c r="O211" s="2">
        <v>2544122</v>
      </c>
      <c r="P211" t="s">
        <v>24</v>
      </c>
      <c r="Q211" t="s">
        <v>24</v>
      </c>
    </row>
    <row r="212" spans="1:17" x14ac:dyDescent="0.25">
      <c r="A212" t="s">
        <v>3605</v>
      </c>
      <c r="B212" t="s">
        <v>3606</v>
      </c>
      <c r="C212" s="1">
        <v>41275</v>
      </c>
      <c r="D212" s="1">
        <v>41639</v>
      </c>
      <c r="E212" t="s">
        <v>3607</v>
      </c>
      <c r="F212" t="s">
        <v>3608</v>
      </c>
      <c r="G212" t="s">
        <v>246</v>
      </c>
      <c r="H212" t="s">
        <v>29</v>
      </c>
      <c r="I212" t="str">
        <f>"60540"</f>
        <v>60540</v>
      </c>
      <c r="J212" t="s">
        <v>22</v>
      </c>
      <c r="K212" t="s">
        <v>30</v>
      </c>
      <c r="L212" s="2">
        <v>36689703</v>
      </c>
      <c r="M212" s="2">
        <v>9789643</v>
      </c>
      <c r="N212" s="2">
        <v>0</v>
      </c>
      <c r="O212" s="2">
        <v>2134817</v>
      </c>
      <c r="P212" t="s">
        <v>24</v>
      </c>
      <c r="Q212" t="s">
        <v>24</v>
      </c>
    </row>
    <row r="213" spans="1:17" x14ac:dyDescent="0.25">
      <c r="A213" t="s">
        <v>1242</v>
      </c>
      <c r="B213" t="s">
        <v>1243</v>
      </c>
      <c r="C213" s="1">
        <v>40909</v>
      </c>
      <c r="D213" s="1">
        <v>41274</v>
      </c>
      <c r="E213" t="s">
        <v>1244</v>
      </c>
      <c r="G213" t="s">
        <v>1245</v>
      </c>
      <c r="H213" t="s">
        <v>47</v>
      </c>
      <c r="I213" t="str">
        <f>"48843"</f>
        <v>48843</v>
      </c>
      <c r="J213" t="s">
        <v>22</v>
      </c>
      <c r="K213" t="s">
        <v>23</v>
      </c>
      <c r="L213" s="2">
        <v>36677673</v>
      </c>
      <c r="M213" s="2">
        <v>32777036</v>
      </c>
      <c r="N213" s="2">
        <v>100</v>
      </c>
      <c r="O213" s="2">
        <v>3556286</v>
      </c>
      <c r="P213" t="s">
        <v>24</v>
      </c>
      <c r="Q213" t="s">
        <v>24</v>
      </c>
    </row>
    <row r="214" spans="1:17" x14ac:dyDescent="0.25">
      <c r="A214" t="s">
        <v>5369</v>
      </c>
      <c r="B214" t="s">
        <v>5370</v>
      </c>
      <c r="E214" t="s">
        <v>5371</v>
      </c>
      <c r="G214" t="s">
        <v>337</v>
      </c>
      <c r="H214" t="s">
        <v>62</v>
      </c>
      <c r="I214" t="str">
        <f>"44114"</f>
        <v>44114</v>
      </c>
      <c r="J214" t="s">
        <v>22</v>
      </c>
      <c r="K214" t="s">
        <v>23</v>
      </c>
      <c r="L214" s="2">
        <v>36369993</v>
      </c>
      <c r="M214" s="2">
        <v>32155556</v>
      </c>
      <c r="N214" s="2">
        <v>0</v>
      </c>
      <c r="O214" t="s">
        <v>24</v>
      </c>
      <c r="P214" t="s">
        <v>24</v>
      </c>
      <c r="Q214" t="s">
        <v>24</v>
      </c>
    </row>
    <row r="215" spans="1:17" x14ac:dyDescent="0.25">
      <c r="A215" t="s">
        <v>7200</v>
      </c>
      <c r="B215" t="s">
        <v>7201</v>
      </c>
      <c r="C215" s="1">
        <v>41275</v>
      </c>
      <c r="D215" s="1">
        <v>41639</v>
      </c>
      <c r="E215" t="s">
        <v>7202</v>
      </c>
      <c r="F215" t="s">
        <v>3132</v>
      </c>
      <c r="G215" t="s">
        <v>999</v>
      </c>
      <c r="H215" t="s">
        <v>47</v>
      </c>
      <c r="I215" t="str">
        <f>"48708"</f>
        <v>48708</v>
      </c>
      <c r="J215" t="s">
        <v>63</v>
      </c>
      <c r="K215" t="s">
        <v>64</v>
      </c>
      <c r="L215" s="2">
        <v>36130169</v>
      </c>
      <c r="M215" s="2">
        <v>3135865</v>
      </c>
      <c r="N215" s="2">
        <v>1759246</v>
      </c>
      <c r="O215" s="2">
        <v>2652634</v>
      </c>
      <c r="P215" s="2">
        <v>249959</v>
      </c>
      <c r="Q215" s="2">
        <v>170734</v>
      </c>
    </row>
    <row r="216" spans="1:17" x14ac:dyDescent="0.25">
      <c r="A216" t="s">
        <v>2876</v>
      </c>
      <c r="B216" t="s">
        <v>2877</v>
      </c>
      <c r="C216" s="1">
        <v>41275</v>
      </c>
      <c r="D216" s="1">
        <v>41639</v>
      </c>
      <c r="E216" t="s">
        <v>1466</v>
      </c>
      <c r="G216" t="s">
        <v>77</v>
      </c>
      <c r="H216" t="s">
        <v>78</v>
      </c>
      <c r="I216" t="str">
        <f>"40202"</f>
        <v>40202</v>
      </c>
      <c r="J216" t="s">
        <v>22</v>
      </c>
      <c r="K216" t="s">
        <v>30</v>
      </c>
      <c r="L216" s="2">
        <v>35407973</v>
      </c>
      <c r="M216" s="2">
        <v>1550488</v>
      </c>
      <c r="N216" s="2">
        <v>0</v>
      </c>
      <c r="O216" s="2">
        <v>1340009</v>
      </c>
      <c r="P216" t="s">
        <v>24</v>
      </c>
      <c r="Q216" t="s">
        <v>24</v>
      </c>
    </row>
    <row r="217" spans="1:17" x14ac:dyDescent="0.25">
      <c r="A217" t="s">
        <v>6952</v>
      </c>
      <c r="B217" t="s">
        <v>6953</v>
      </c>
      <c r="C217" s="1">
        <v>40909</v>
      </c>
      <c r="D217" s="1">
        <v>41274</v>
      </c>
      <c r="E217" t="s">
        <v>6954</v>
      </c>
      <c r="G217" t="s">
        <v>4059</v>
      </c>
      <c r="H217" t="s">
        <v>21</v>
      </c>
      <c r="I217" t="str">
        <f>"47374"</f>
        <v>47374</v>
      </c>
      <c r="J217" t="s">
        <v>63</v>
      </c>
      <c r="K217" t="s">
        <v>64</v>
      </c>
      <c r="L217" s="2">
        <v>35278802</v>
      </c>
      <c r="M217" s="2">
        <v>5557786</v>
      </c>
      <c r="N217" s="2">
        <v>2024539</v>
      </c>
      <c r="O217" s="2">
        <v>2434772</v>
      </c>
      <c r="P217" s="2">
        <v>684238</v>
      </c>
      <c r="Q217" s="2">
        <v>125026</v>
      </c>
    </row>
    <row r="218" spans="1:17" x14ac:dyDescent="0.25">
      <c r="A218" t="s">
        <v>6979</v>
      </c>
      <c r="B218" t="s">
        <v>6980</v>
      </c>
      <c r="C218" s="1">
        <v>41456</v>
      </c>
      <c r="D218" s="1">
        <v>41820</v>
      </c>
      <c r="E218" t="s">
        <v>6981</v>
      </c>
      <c r="G218" t="s">
        <v>4959</v>
      </c>
      <c r="H218" t="s">
        <v>29</v>
      </c>
      <c r="I218" t="str">
        <f>"61944"</f>
        <v>61944</v>
      </c>
      <c r="J218" t="s">
        <v>63</v>
      </c>
      <c r="K218" t="s">
        <v>64</v>
      </c>
      <c r="L218" s="2">
        <v>35078851</v>
      </c>
      <c r="M218" s="2">
        <v>2588245</v>
      </c>
      <c r="N218" s="2">
        <v>11891782</v>
      </c>
      <c r="O218" s="2">
        <v>1662916</v>
      </c>
      <c r="P218" s="2">
        <v>63297</v>
      </c>
      <c r="Q218" s="2">
        <v>0</v>
      </c>
    </row>
    <row r="219" spans="1:17" x14ac:dyDescent="0.25">
      <c r="A219" t="s">
        <v>7000</v>
      </c>
      <c r="B219" t="s">
        <v>7001</v>
      </c>
      <c r="C219" s="1">
        <v>41275</v>
      </c>
      <c r="D219" s="1">
        <v>41639</v>
      </c>
      <c r="E219" t="s">
        <v>7002</v>
      </c>
      <c r="G219" t="s">
        <v>77</v>
      </c>
      <c r="H219" t="s">
        <v>78</v>
      </c>
      <c r="I219" t="str">
        <f>"40201"</f>
        <v>40201</v>
      </c>
      <c r="J219" t="s">
        <v>63</v>
      </c>
      <c r="K219" t="s">
        <v>30</v>
      </c>
      <c r="L219" s="2">
        <v>35005175</v>
      </c>
      <c r="M219" s="2">
        <v>1522829</v>
      </c>
      <c r="N219" s="2">
        <v>0</v>
      </c>
      <c r="O219" s="2">
        <v>4021664</v>
      </c>
      <c r="P219" s="2">
        <v>0</v>
      </c>
      <c r="Q219" s="2">
        <v>0</v>
      </c>
    </row>
    <row r="220" spans="1:17" x14ac:dyDescent="0.25">
      <c r="A220" t="s">
        <v>3261</v>
      </c>
      <c r="B220" t="s">
        <v>3262</v>
      </c>
      <c r="C220" s="1">
        <v>40909</v>
      </c>
      <c r="D220" s="1">
        <v>41274</v>
      </c>
      <c r="E220" t="s">
        <v>3263</v>
      </c>
      <c r="G220" t="s">
        <v>772</v>
      </c>
      <c r="H220" t="s">
        <v>62</v>
      </c>
      <c r="I220" t="str">
        <f>"44124"</f>
        <v>44124</v>
      </c>
      <c r="J220" t="s">
        <v>22</v>
      </c>
      <c r="K220" t="s">
        <v>30</v>
      </c>
      <c r="L220" s="2">
        <v>34834651</v>
      </c>
      <c r="M220" s="2">
        <v>16564964</v>
      </c>
      <c r="N220" s="2">
        <v>0</v>
      </c>
      <c r="O220" s="2">
        <v>2008750</v>
      </c>
      <c r="P220" t="s">
        <v>24</v>
      </c>
      <c r="Q220" t="s">
        <v>24</v>
      </c>
    </row>
    <row r="221" spans="1:17" x14ac:dyDescent="0.25">
      <c r="A221" t="s">
        <v>2840</v>
      </c>
      <c r="B221" t="s">
        <v>2841</v>
      </c>
      <c r="C221" s="1">
        <v>41275</v>
      </c>
      <c r="D221" s="1">
        <v>41639</v>
      </c>
      <c r="E221" t="s">
        <v>2842</v>
      </c>
      <c r="G221" t="s">
        <v>1809</v>
      </c>
      <c r="H221" t="s">
        <v>29</v>
      </c>
      <c r="I221" t="str">
        <f>"60045"</f>
        <v>60045</v>
      </c>
      <c r="J221" t="s">
        <v>22</v>
      </c>
      <c r="K221" t="s">
        <v>30</v>
      </c>
      <c r="L221" s="2">
        <v>34541777</v>
      </c>
      <c r="M221" s="2">
        <v>4475859</v>
      </c>
      <c r="N221" s="2">
        <v>0</v>
      </c>
      <c r="O221" s="2">
        <v>1887242</v>
      </c>
      <c r="P221" t="s">
        <v>24</v>
      </c>
      <c r="Q221" t="s">
        <v>24</v>
      </c>
    </row>
    <row r="222" spans="1:17" x14ac:dyDescent="0.25">
      <c r="A222" t="s">
        <v>2182</v>
      </c>
      <c r="B222" t="s">
        <v>2183</v>
      </c>
      <c r="C222" s="1">
        <v>41275</v>
      </c>
      <c r="D222" s="1">
        <v>41639</v>
      </c>
      <c r="E222" t="s">
        <v>2184</v>
      </c>
      <c r="G222" t="s">
        <v>659</v>
      </c>
      <c r="H222" t="s">
        <v>47</v>
      </c>
      <c r="I222" t="str">
        <f>"48075"</f>
        <v>48075</v>
      </c>
      <c r="J222" t="s">
        <v>22</v>
      </c>
      <c r="K222" t="s">
        <v>23</v>
      </c>
      <c r="L222" s="2">
        <v>34534778</v>
      </c>
      <c r="M222" s="2">
        <v>42110898</v>
      </c>
      <c r="N222" s="2">
        <v>243</v>
      </c>
      <c r="O222" s="2">
        <v>2406579</v>
      </c>
      <c r="P222" t="s">
        <v>24</v>
      </c>
      <c r="Q222" t="s">
        <v>24</v>
      </c>
    </row>
    <row r="223" spans="1:17" x14ac:dyDescent="0.25">
      <c r="A223" t="s">
        <v>2060</v>
      </c>
      <c r="B223" t="s">
        <v>2061</v>
      </c>
      <c r="C223" s="1">
        <v>41365</v>
      </c>
      <c r="D223" s="1">
        <v>41729</v>
      </c>
      <c r="E223" t="s">
        <v>2062</v>
      </c>
      <c r="F223" t="s">
        <v>2063</v>
      </c>
      <c r="G223" t="s">
        <v>2064</v>
      </c>
      <c r="H223" t="s">
        <v>47</v>
      </c>
      <c r="I223" t="str">
        <f>"49770"</f>
        <v>49770</v>
      </c>
      <c r="J223" t="s">
        <v>63</v>
      </c>
      <c r="K223" t="s">
        <v>64</v>
      </c>
      <c r="L223" s="2">
        <v>34375158</v>
      </c>
      <c r="M223" s="2">
        <v>2083096</v>
      </c>
      <c r="N223" s="2">
        <v>4270538</v>
      </c>
      <c r="O223" s="2">
        <v>1713439</v>
      </c>
      <c r="P223" s="2">
        <v>319644</v>
      </c>
      <c r="Q223" s="2">
        <v>28788</v>
      </c>
    </row>
    <row r="224" spans="1:17" x14ac:dyDescent="0.25">
      <c r="A224" t="s">
        <v>7462</v>
      </c>
      <c r="B224" t="s">
        <v>7463</v>
      </c>
      <c r="C224" s="1">
        <v>41122</v>
      </c>
      <c r="D224" s="1">
        <v>41486</v>
      </c>
      <c r="E224" t="s">
        <v>50</v>
      </c>
      <c r="G224" t="s">
        <v>28</v>
      </c>
      <c r="H224" t="s">
        <v>29</v>
      </c>
      <c r="I224" t="str">
        <f>"60603"</f>
        <v>60603</v>
      </c>
      <c r="J224" t="s">
        <v>22</v>
      </c>
      <c r="K224" t="s">
        <v>23</v>
      </c>
      <c r="L224" s="2">
        <v>34184662</v>
      </c>
      <c r="M224" s="2">
        <v>17939870</v>
      </c>
      <c r="N224" s="2">
        <v>0</v>
      </c>
      <c r="O224" s="2">
        <v>1829038</v>
      </c>
      <c r="P224" t="s">
        <v>24</v>
      </c>
      <c r="Q224" t="s">
        <v>24</v>
      </c>
    </row>
    <row r="225" spans="1:17" x14ac:dyDescent="0.25">
      <c r="A225" t="s">
        <v>2065</v>
      </c>
      <c r="B225" t="s">
        <v>2066</v>
      </c>
      <c r="C225" s="1">
        <v>41275</v>
      </c>
      <c r="D225" s="1">
        <v>41639</v>
      </c>
      <c r="E225" t="s">
        <v>2067</v>
      </c>
      <c r="F225" t="s">
        <v>2068</v>
      </c>
      <c r="G225" t="s">
        <v>2069</v>
      </c>
      <c r="H225" t="s">
        <v>21</v>
      </c>
      <c r="I225" t="str">
        <f>"47362"</f>
        <v>47362</v>
      </c>
      <c r="J225" t="s">
        <v>63</v>
      </c>
      <c r="K225" t="s">
        <v>64</v>
      </c>
      <c r="L225" s="2">
        <v>33863393</v>
      </c>
      <c r="M225" s="2">
        <v>3539188</v>
      </c>
      <c r="N225" s="2">
        <v>1802627</v>
      </c>
      <c r="O225" s="2">
        <v>1733597</v>
      </c>
      <c r="P225" s="2">
        <v>368379</v>
      </c>
      <c r="Q225" s="2">
        <v>274787</v>
      </c>
    </row>
    <row r="226" spans="1:17" x14ac:dyDescent="0.25">
      <c r="A226" t="s">
        <v>7464</v>
      </c>
      <c r="B226" t="s">
        <v>7465</v>
      </c>
      <c r="C226" s="1">
        <v>41275</v>
      </c>
      <c r="D226" s="1">
        <v>41639</v>
      </c>
      <c r="E226" t="s">
        <v>7466</v>
      </c>
      <c r="F226" t="s">
        <v>7467</v>
      </c>
      <c r="G226" t="s">
        <v>1575</v>
      </c>
      <c r="H226" t="s">
        <v>42</v>
      </c>
      <c r="I226" t="str">
        <f>"54913"</f>
        <v>54913</v>
      </c>
      <c r="J226" t="s">
        <v>22</v>
      </c>
      <c r="K226" t="s">
        <v>23</v>
      </c>
      <c r="L226" s="2">
        <v>33803357</v>
      </c>
      <c r="M226" s="2">
        <v>20648443</v>
      </c>
      <c r="N226" s="2">
        <v>0</v>
      </c>
      <c r="O226" s="2">
        <v>2826484</v>
      </c>
      <c r="P226" t="s">
        <v>24</v>
      </c>
      <c r="Q226" t="s">
        <v>24</v>
      </c>
    </row>
    <row r="227" spans="1:17" x14ac:dyDescent="0.25">
      <c r="A227" t="s">
        <v>1557</v>
      </c>
      <c r="B227" t="s">
        <v>1558</v>
      </c>
      <c r="C227" s="1">
        <v>41275</v>
      </c>
      <c r="D227" s="1">
        <v>41639</v>
      </c>
      <c r="E227" t="s">
        <v>1559</v>
      </c>
      <c r="G227" t="s">
        <v>1560</v>
      </c>
      <c r="H227" t="s">
        <v>21</v>
      </c>
      <c r="I227" t="str">
        <f>"46637"</f>
        <v>46637</v>
      </c>
      <c r="J227" t="s">
        <v>63</v>
      </c>
      <c r="K227" t="s">
        <v>79</v>
      </c>
      <c r="L227" s="2">
        <v>33712643</v>
      </c>
      <c r="M227" s="2">
        <v>1715978</v>
      </c>
      <c r="N227" s="2">
        <v>13131013</v>
      </c>
      <c r="O227" s="2">
        <v>1877709</v>
      </c>
      <c r="P227" s="2">
        <v>392080</v>
      </c>
      <c r="Q227" s="2">
        <v>377169</v>
      </c>
    </row>
    <row r="228" spans="1:17" x14ac:dyDescent="0.25">
      <c r="A228" t="s">
        <v>7636</v>
      </c>
      <c r="B228" t="s">
        <v>7637</v>
      </c>
      <c r="C228" s="1">
        <v>41275</v>
      </c>
      <c r="D228" s="1">
        <v>41639</v>
      </c>
      <c r="E228" t="s">
        <v>7638</v>
      </c>
      <c r="G228" t="s">
        <v>7639</v>
      </c>
      <c r="H228" t="s">
        <v>21</v>
      </c>
      <c r="I228" t="str">
        <f>"46962"</f>
        <v>46962</v>
      </c>
      <c r="J228" t="s">
        <v>63</v>
      </c>
      <c r="K228" t="s">
        <v>64</v>
      </c>
      <c r="L228" s="2">
        <v>33642815</v>
      </c>
      <c r="M228" s="2">
        <v>2365844</v>
      </c>
      <c r="N228" s="2">
        <v>2203407</v>
      </c>
      <c r="O228" s="2">
        <v>1600349</v>
      </c>
      <c r="P228" s="2">
        <v>628271</v>
      </c>
      <c r="Q228" s="2">
        <v>16128</v>
      </c>
    </row>
    <row r="229" spans="1:17" x14ac:dyDescent="0.25">
      <c r="A229" t="s">
        <v>1960</v>
      </c>
      <c r="B229" t="s">
        <v>1961</v>
      </c>
      <c r="C229" s="1">
        <v>41275</v>
      </c>
      <c r="D229" s="1">
        <v>41639</v>
      </c>
      <c r="E229" t="s">
        <v>1535</v>
      </c>
      <c r="G229" t="s">
        <v>41</v>
      </c>
      <c r="H229" t="s">
        <v>42</v>
      </c>
      <c r="I229" t="str">
        <f>"53201"</f>
        <v>53201</v>
      </c>
      <c r="J229" t="s">
        <v>22</v>
      </c>
      <c r="K229" t="s">
        <v>91</v>
      </c>
      <c r="L229" s="2">
        <v>33591256</v>
      </c>
      <c r="M229" s="2">
        <v>25862645</v>
      </c>
      <c r="N229" s="2">
        <v>0</v>
      </c>
      <c r="O229" s="2">
        <v>8733336</v>
      </c>
      <c r="P229" t="s">
        <v>24</v>
      </c>
      <c r="Q229" t="s">
        <v>24</v>
      </c>
    </row>
    <row r="230" spans="1:17" x14ac:dyDescent="0.25">
      <c r="A230" t="s">
        <v>4660</v>
      </c>
      <c r="B230" t="s">
        <v>4661</v>
      </c>
      <c r="C230" s="1">
        <v>41275</v>
      </c>
      <c r="D230" s="1">
        <v>41639</v>
      </c>
      <c r="E230" t="s">
        <v>4662</v>
      </c>
      <c r="G230" t="s">
        <v>4284</v>
      </c>
      <c r="H230" t="s">
        <v>42</v>
      </c>
      <c r="I230" t="str">
        <f>"54494"</f>
        <v>54494</v>
      </c>
      <c r="J230" t="s">
        <v>63</v>
      </c>
      <c r="K230" t="s">
        <v>64</v>
      </c>
      <c r="L230" s="2">
        <v>33577664</v>
      </c>
      <c r="M230" s="2">
        <v>6026120</v>
      </c>
      <c r="N230" s="2">
        <v>1626055</v>
      </c>
      <c r="O230" s="2">
        <v>3075802</v>
      </c>
      <c r="P230" s="2">
        <v>515767</v>
      </c>
      <c r="Q230" s="2">
        <v>95881</v>
      </c>
    </row>
    <row r="231" spans="1:17" x14ac:dyDescent="0.25">
      <c r="A231" t="s">
        <v>2362</v>
      </c>
      <c r="B231" t="s">
        <v>2363</v>
      </c>
      <c r="C231" s="1">
        <v>41275</v>
      </c>
      <c r="D231" s="1">
        <v>41639</v>
      </c>
      <c r="E231" t="s">
        <v>2364</v>
      </c>
      <c r="G231" t="s">
        <v>77</v>
      </c>
      <c r="H231" t="s">
        <v>78</v>
      </c>
      <c r="I231" t="str">
        <f>"40222"</f>
        <v>40222</v>
      </c>
      <c r="J231" t="s">
        <v>22</v>
      </c>
      <c r="K231" t="s">
        <v>30</v>
      </c>
      <c r="L231" s="2">
        <v>33356828</v>
      </c>
      <c r="M231" s="2">
        <v>3112340</v>
      </c>
      <c r="N231" s="2">
        <v>0</v>
      </c>
      <c r="O231" s="2">
        <v>1703769</v>
      </c>
      <c r="P231" t="s">
        <v>24</v>
      </c>
      <c r="Q231" t="s">
        <v>24</v>
      </c>
    </row>
    <row r="232" spans="1:17" x14ac:dyDescent="0.25">
      <c r="A232" t="s">
        <v>4168</v>
      </c>
      <c r="B232" t="s">
        <v>4169</v>
      </c>
      <c r="C232" s="1">
        <v>41275</v>
      </c>
      <c r="D232" s="1">
        <v>41639</v>
      </c>
      <c r="E232" t="s">
        <v>4170</v>
      </c>
      <c r="F232" t="s">
        <v>4171</v>
      </c>
      <c r="G232" t="s">
        <v>4172</v>
      </c>
      <c r="H232" t="s">
        <v>47</v>
      </c>
      <c r="I232" t="str">
        <f>"49085"</f>
        <v>49085</v>
      </c>
      <c r="J232" t="s">
        <v>63</v>
      </c>
      <c r="K232" t="s">
        <v>64</v>
      </c>
      <c r="L232" s="2">
        <v>33229231</v>
      </c>
      <c r="M232" s="2">
        <v>8865123</v>
      </c>
      <c r="N232" s="2">
        <v>588074</v>
      </c>
      <c r="O232" s="2">
        <v>4340421</v>
      </c>
      <c r="P232" s="2">
        <v>395153</v>
      </c>
      <c r="Q232" s="2">
        <v>17974</v>
      </c>
    </row>
    <row r="233" spans="1:17" x14ac:dyDescent="0.25">
      <c r="A233" t="s">
        <v>6104</v>
      </c>
      <c r="B233" t="s">
        <v>6105</v>
      </c>
      <c r="C233" s="1">
        <v>41275</v>
      </c>
      <c r="D233" s="1">
        <v>41639</v>
      </c>
      <c r="E233" t="s">
        <v>6106</v>
      </c>
      <c r="F233" t="s">
        <v>6107</v>
      </c>
      <c r="G233" t="s">
        <v>113</v>
      </c>
      <c r="H233" t="s">
        <v>42</v>
      </c>
      <c r="I233" t="str">
        <f>"53188"</f>
        <v>53188</v>
      </c>
      <c r="J233" t="s">
        <v>63</v>
      </c>
      <c r="K233" t="s">
        <v>64</v>
      </c>
      <c r="L233" s="2">
        <v>33179563</v>
      </c>
      <c r="M233" s="2">
        <v>3083719</v>
      </c>
      <c r="N233" s="2">
        <v>6029161</v>
      </c>
      <c r="O233" s="2">
        <v>1864082</v>
      </c>
      <c r="P233" s="2">
        <v>334246</v>
      </c>
      <c r="Q233" s="2">
        <v>74940</v>
      </c>
    </row>
    <row r="234" spans="1:17" x14ac:dyDescent="0.25">
      <c r="A234" t="s">
        <v>7630</v>
      </c>
      <c r="B234" t="s">
        <v>7631</v>
      </c>
      <c r="C234" s="1">
        <v>41275</v>
      </c>
      <c r="D234" s="1">
        <v>41639</v>
      </c>
      <c r="E234" t="s">
        <v>5991</v>
      </c>
      <c r="G234" t="s">
        <v>5992</v>
      </c>
      <c r="H234" t="s">
        <v>42</v>
      </c>
      <c r="I234" t="str">
        <f>"54612"</f>
        <v>54612</v>
      </c>
      <c r="J234" t="s">
        <v>22</v>
      </c>
      <c r="K234" t="s">
        <v>30</v>
      </c>
      <c r="L234" s="2">
        <v>33093695</v>
      </c>
      <c r="M234" s="2">
        <v>10639519</v>
      </c>
      <c r="N234" s="2">
        <v>0</v>
      </c>
      <c r="O234" s="2">
        <v>2183575</v>
      </c>
      <c r="P234" t="s">
        <v>24</v>
      </c>
      <c r="Q234" t="s">
        <v>24</v>
      </c>
    </row>
    <row r="235" spans="1:17" x14ac:dyDescent="0.25">
      <c r="A235" t="s">
        <v>504</v>
      </c>
      <c r="B235" t="s">
        <v>505</v>
      </c>
      <c r="C235" s="1">
        <v>41275</v>
      </c>
      <c r="D235" s="1">
        <v>41639</v>
      </c>
      <c r="E235" t="s">
        <v>506</v>
      </c>
      <c r="F235" t="s">
        <v>507</v>
      </c>
      <c r="G235" t="s">
        <v>508</v>
      </c>
      <c r="H235" t="s">
        <v>21</v>
      </c>
      <c r="I235" t="str">
        <f>"46072"</f>
        <v>46072</v>
      </c>
      <c r="J235" t="s">
        <v>63</v>
      </c>
      <c r="K235" t="s">
        <v>64</v>
      </c>
      <c r="L235" s="2">
        <v>33093612</v>
      </c>
      <c r="M235" s="2">
        <v>6192223</v>
      </c>
      <c r="N235" s="2">
        <v>249403</v>
      </c>
      <c r="O235" s="2">
        <v>1211817</v>
      </c>
      <c r="P235" s="2">
        <v>216700</v>
      </c>
      <c r="Q235" s="2">
        <v>71707</v>
      </c>
    </row>
    <row r="236" spans="1:17" x14ac:dyDescent="0.25">
      <c r="A236" t="s">
        <v>7270</v>
      </c>
      <c r="B236" t="s">
        <v>7271</v>
      </c>
      <c r="C236" s="1">
        <v>40909</v>
      </c>
      <c r="D236" s="1">
        <v>41274</v>
      </c>
      <c r="E236" t="s">
        <v>7272</v>
      </c>
      <c r="G236" t="s">
        <v>337</v>
      </c>
      <c r="H236" t="s">
        <v>62</v>
      </c>
      <c r="I236" t="str">
        <f>"44113"</f>
        <v>44113</v>
      </c>
      <c r="J236" t="s">
        <v>22</v>
      </c>
      <c r="K236" t="s">
        <v>30</v>
      </c>
      <c r="L236" s="2">
        <v>33042874</v>
      </c>
      <c r="M236" s="2">
        <v>11679306</v>
      </c>
      <c r="N236" s="2">
        <v>0</v>
      </c>
      <c r="O236" s="2">
        <v>1967757</v>
      </c>
      <c r="P236" t="s">
        <v>24</v>
      </c>
      <c r="Q236" t="s">
        <v>24</v>
      </c>
    </row>
    <row r="237" spans="1:17" x14ac:dyDescent="0.25">
      <c r="A237" t="s">
        <v>6108</v>
      </c>
      <c r="B237" t="s">
        <v>6109</v>
      </c>
      <c r="C237" s="1">
        <v>41275</v>
      </c>
      <c r="D237" s="1">
        <v>41639</v>
      </c>
      <c r="E237" t="s">
        <v>6110</v>
      </c>
      <c r="G237" t="s">
        <v>547</v>
      </c>
      <c r="H237" t="s">
        <v>62</v>
      </c>
      <c r="I237" t="str">
        <f>"45662"</f>
        <v>45662</v>
      </c>
      <c r="J237" t="s">
        <v>63</v>
      </c>
      <c r="K237" t="s">
        <v>64</v>
      </c>
      <c r="L237" s="2">
        <v>32950788</v>
      </c>
      <c r="M237" s="2">
        <v>7530727</v>
      </c>
      <c r="N237" s="2">
        <v>3903809</v>
      </c>
      <c r="O237" s="2">
        <v>1559443</v>
      </c>
      <c r="P237" s="2">
        <v>59945</v>
      </c>
      <c r="Q237" s="2">
        <v>72210</v>
      </c>
    </row>
    <row r="238" spans="1:17" x14ac:dyDescent="0.25">
      <c r="A238" t="s">
        <v>2587</v>
      </c>
      <c r="B238" t="s">
        <v>2588</v>
      </c>
      <c r="C238" s="1">
        <v>41275</v>
      </c>
      <c r="D238" s="1">
        <v>41639</v>
      </c>
      <c r="E238" t="s">
        <v>2589</v>
      </c>
      <c r="G238" t="s">
        <v>77</v>
      </c>
      <c r="H238" t="s">
        <v>78</v>
      </c>
      <c r="I238" t="str">
        <f>"40202"</f>
        <v>40202</v>
      </c>
      <c r="J238" t="s">
        <v>22</v>
      </c>
      <c r="K238" t="s">
        <v>30</v>
      </c>
      <c r="L238" s="2">
        <v>32923288</v>
      </c>
      <c r="M238" s="2">
        <v>1705666</v>
      </c>
      <c r="N238" s="2">
        <v>0</v>
      </c>
      <c r="O238" s="2">
        <v>956173</v>
      </c>
      <c r="P238" t="s">
        <v>24</v>
      </c>
      <c r="Q238" t="s">
        <v>24</v>
      </c>
    </row>
    <row r="239" spans="1:17" x14ac:dyDescent="0.25">
      <c r="A239" t="s">
        <v>4140</v>
      </c>
      <c r="B239" t="s">
        <v>4141</v>
      </c>
      <c r="C239" s="1">
        <v>41275</v>
      </c>
      <c r="D239" s="1">
        <v>41639</v>
      </c>
      <c r="E239" t="s">
        <v>4142</v>
      </c>
      <c r="G239" t="s">
        <v>139</v>
      </c>
      <c r="H239" t="s">
        <v>47</v>
      </c>
      <c r="I239" t="str">
        <f>"49546"</f>
        <v>49546</v>
      </c>
      <c r="J239" t="s">
        <v>22</v>
      </c>
      <c r="K239" t="s">
        <v>23</v>
      </c>
      <c r="L239" s="2">
        <v>32393467</v>
      </c>
      <c r="M239" s="2">
        <v>4205210</v>
      </c>
      <c r="N239" s="2">
        <v>0</v>
      </c>
      <c r="O239" s="2">
        <v>1363488</v>
      </c>
      <c r="P239" t="s">
        <v>24</v>
      </c>
      <c r="Q239" t="s">
        <v>24</v>
      </c>
    </row>
    <row r="240" spans="1:17" x14ac:dyDescent="0.25">
      <c r="A240" t="s">
        <v>7498</v>
      </c>
      <c r="B240" t="s">
        <v>7499</v>
      </c>
      <c r="C240" s="1">
        <v>41275</v>
      </c>
      <c r="D240" s="1">
        <v>41639</v>
      </c>
      <c r="E240" t="s">
        <v>7500</v>
      </c>
      <c r="G240" t="s">
        <v>3979</v>
      </c>
      <c r="H240" t="s">
        <v>62</v>
      </c>
      <c r="I240" t="str">
        <f>"44145"</f>
        <v>44145</v>
      </c>
      <c r="J240" t="s">
        <v>22</v>
      </c>
      <c r="K240" t="s">
        <v>30</v>
      </c>
      <c r="L240" s="2">
        <v>32332135</v>
      </c>
      <c r="M240" s="2">
        <v>17609904</v>
      </c>
      <c r="N240" s="2">
        <v>0</v>
      </c>
      <c r="O240" s="2">
        <v>2127575</v>
      </c>
      <c r="P240" t="s">
        <v>24</v>
      </c>
      <c r="Q240" t="s">
        <v>24</v>
      </c>
    </row>
    <row r="241" spans="1:17" x14ac:dyDescent="0.25">
      <c r="A241" t="s">
        <v>6305</v>
      </c>
      <c r="B241" t="s">
        <v>6306</v>
      </c>
      <c r="C241" s="1">
        <v>41456</v>
      </c>
      <c r="D241" s="1">
        <v>41820</v>
      </c>
      <c r="E241" t="s">
        <v>6307</v>
      </c>
      <c r="G241" t="s">
        <v>6308</v>
      </c>
      <c r="H241" t="s">
        <v>21</v>
      </c>
      <c r="I241" t="str">
        <f>"46158"</f>
        <v>46158</v>
      </c>
      <c r="J241" t="s">
        <v>22</v>
      </c>
      <c r="K241" t="s">
        <v>30</v>
      </c>
      <c r="L241" s="2">
        <v>32188978</v>
      </c>
      <c r="M241" s="2">
        <v>8307381</v>
      </c>
      <c r="N241" s="2">
        <v>36467</v>
      </c>
      <c r="O241" s="2">
        <v>1866805</v>
      </c>
      <c r="P241" t="s">
        <v>24</v>
      </c>
      <c r="Q241" t="s">
        <v>24</v>
      </c>
    </row>
    <row r="242" spans="1:17" x14ac:dyDescent="0.25">
      <c r="A242" t="s">
        <v>2719</v>
      </c>
      <c r="B242" t="s">
        <v>2720</v>
      </c>
      <c r="C242" s="1">
        <v>41275</v>
      </c>
      <c r="D242" s="1">
        <v>41639</v>
      </c>
      <c r="E242" t="s">
        <v>104</v>
      </c>
      <c r="G242" t="s">
        <v>28</v>
      </c>
      <c r="H242" t="s">
        <v>29</v>
      </c>
      <c r="I242" t="str">
        <f>"60680"</f>
        <v>60680</v>
      </c>
      <c r="J242" t="s">
        <v>22</v>
      </c>
      <c r="K242" t="s">
        <v>23</v>
      </c>
      <c r="L242" s="2">
        <v>32020084</v>
      </c>
      <c r="M242" s="2">
        <v>7711099</v>
      </c>
      <c r="N242" s="2">
        <v>0</v>
      </c>
      <c r="O242" s="2">
        <v>1169371</v>
      </c>
      <c r="P242" t="s">
        <v>24</v>
      </c>
      <c r="Q242" t="s">
        <v>24</v>
      </c>
    </row>
    <row r="243" spans="1:17" x14ac:dyDescent="0.25">
      <c r="A243" t="s">
        <v>6509</v>
      </c>
      <c r="B243" t="s">
        <v>6510</v>
      </c>
      <c r="C243" s="1">
        <v>41244</v>
      </c>
      <c r="D243" s="1">
        <v>41608</v>
      </c>
      <c r="E243" t="s">
        <v>6511</v>
      </c>
      <c r="G243" t="s">
        <v>1265</v>
      </c>
      <c r="H243" t="s">
        <v>29</v>
      </c>
      <c r="I243" t="str">
        <f>"60301"</f>
        <v>60301</v>
      </c>
      <c r="J243" t="s">
        <v>22</v>
      </c>
      <c r="K243" t="s">
        <v>30</v>
      </c>
      <c r="L243" s="2">
        <v>31825671</v>
      </c>
      <c r="M243" s="2">
        <v>29936047</v>
      </c>
      <c r="N243" s="2">
        <v>0</v>
      </c>
      <c r="O243" s="2">
        <v>1706661</v>
      </c>
      <c r="P243" t="s">
        <v>24</v>
      </c>
      <c r="Q243" t="s">
        <v>24</v>
      </c>
    </row>
    <row r="244" spans="1:17" x14ac:dyDescent="0.25">
      <c r="A244" t="s">
        <v>5222</v>
      </c>
      <c r="B244" t="s">
        <v>5223</v>
      </c>
      <c r="C244" s="1">
        <v>41275</v>
      </c>
      <c r="D244" s="1">
        <v>41639</v>
      </c>
      <c r="E244" t="s">
        <v>5224</v>
      </c>
      <c r="G244" t="s">
        <v>5225</v>
      </c>
      <c r="H244" t="s">
        <v>62</v>
      </c>
      <c r="I244" t="str">
        <f>"43050"</f>
        <v>43050</v>
      </c>
      <c r="J244" t="s">
        <v>22</v>
      </c>
      <c r="K244" t="s">
        <v>23</v>
      </c>
      <c r="L244" s="2">
        <v>31235159</v>
      </c>
      <c r="M244" s="2">
        <v>23426936</v>
      </c>
      <c r="N244" s="2">
        <v>0</v>
      </c>
      <c r="O244" s="2">
        <v>4953495</v>
      </c>
      <c r="P244" t="s">
        <v>24</v>
      </c>
      <c r="Q244" t="s">
        <v>24</v>
      </c>
    </row>
    <row r="245" spans="1:17" x14ac:dyDescent="0.25">
      <c r="A245" t="s">
        <v>4617</v>
      </c>
      <c r="B245" t="s">
        <v>4618</v>
      </c>
      <c r="C245" s="1">
        <v>41456</v>
      </c>
      <c r="D245" s="1">
        <v>41820</v>
      </c>
      <c r="E245" t="s">
        <v>4619</v>
      </c>
      <c r="G245" t="s">
        <v>1965</v>
      </c>
      <c r="H245" t="s">
        <v>21</v>
      </c>
      <c r="I245" t="str">
        <f>"46563"</f>
        <v>46563</v>
      </c>
      <c r="J245" t="s">
        <v>63</v>
      </c>
      <c r="K245" t="s">
        <v>64</v>
      </c>
      <c r="L245" s="2">
        <v>30922549</v>
      </c>
      <c r="M245" s="2">
        <v>2837975</v>
      </c>
      <c r="N245" s="2">
        <v>7392342</v>
      </c>
      <c r="O245" s="2">
        <v>2429896</v>
      </c>
      <c r="P245" s="2">
        <v>230432</v>
      </c>
      <c r="Q245" s="2">
        <v>78935</v>
      </c>
    </row>
    <row r="246" spans="1:17" x14ac:dyDescent="0.25">
      <c r="A246" t="s">
        <v>3751</v>
      </c>
      <c r="B246" t="s">
        <v>3752</v>
      </c>
      <c r="C246" s="1">
        <v>41275</v>
      </c>
      <c r="D246" s="1">
        <v>41639</v>
      </c>
      <c r="E246" t="s">
        <v>3753</v>
      </c>
      <c r="G246" t="s">
        <v>3754</v>
      </c>
      <c r="H246" t="s">
        <v>62</v>
      </c>
      <c r="I246" t="str">
        <f>"43081"</f>
        <v>43081</v>
      </c>
      <c r="J246" t="s">
        <v>22</v>
      </c>
      <c r="K246" t="s">
        <v>23</v>
      </c>
      <c r="L246" s="2">
        <v>30808693</v>
      </c>
      <c r="M246" s="2">
        <v>9150869</v>
      </c>
      <c r="N246" s="2">
        <v>914120</v>
      </c>
      <c r="O246" s="2">
        <v>2058796</v>
      </c>
      <c r="P246" t="s">
        <v>24</v>
      </c>
      <c r="Q246" t="s">
        <v>24</v>
      </c>
    </row>
    <row r="247" spans="1:17" x14ac:dyDescent="0.25">
      <c r="A247" t="s">
        <v>7102</v>
      </c>
      <c r="B247" t="s">
        <v>7103</v>
      </c>
      <c r="C247" s="1">
        <v>41275</v>
      </c>
      <c r="D247" s="1">
        <v>41639</v>
      </c>
      <c r="E247" t="s">
        <v>7104</v>
      </c>
      <c r="G247" t="s">
        <v>28</v>
      </c>
      <c r="H247" t="s">
        <v>29</v>
      </c>
      <c r="I247" t="str">
        <f>"60607"</f>
        <v>60607</v>
      </c>
      <c r="J247" t="s">
        <v>63</v>
      </c>
      <c r="K247" t="s">
        <v>753</v>
      </c>
      <c r="L247" s="2">
        <v>30746798</v>
      </c>
      <c r="M247" s="2">
        <v>13063913</v>
      </c>
      <c r="N247" s="2">
        <v>603591</v>
      </c>
      <c r="O247" s="2">
        <v>11847669</v>
      </c>
      <c r="P247" s="2">
        <v>545911</v>
      </c>
      <c r="Q247" s="2">
        <v>0</v>
      </c>
    </row>
    <row r="248" spans="1:17" x14ac:dyDescent="0.25">
      <c r="A248" t="s">
        <v>6119</v>
      </c>
      <c r="B248" t="s">
        <v>6120</v>
      </c>
      <c r="C248" s="1">
        <v>41275</v>
      </c>
      <c r="D248" s="1">
        <v>41639</v>
      </c>
      <c r="E248" t="s">
        <v>6121</v>
      </c>
      <c r="G248" t="s">
        <v>6122</v>
      </c>
      <c r="H248" t="s">
        <v>21</v>
      </c>
      <c r="I248" t="str">
        <f>"46176"</f>
        <v>46176</v>
      </c>
      <c r="J248" t="s">
        <v>63</v>
      </c>
      <c r="K248" t="s">
        <v>64</v>
      </c>
      <c r="L248" s="2">
        <v>30582257</v>
      </c>
      <c r="M248" s="2">
        <v>3357377</v>
      </c>
      <c r="N248" s="2">
        <v>2246891</v>
      </c>
      <c r="O248" s="2">
        <v>1848478</v>
      </c>
      <c r="P248" s="2">
        <v>500696</v>
      </c>
      <c r="Q248" s="2">
        <v>181055</v>
      </c>
    </row>
    <row r="249" spans="1:17" x14ac:dyDescent="0.25">
      <c r="A249" t="s">
        <v>1380</v>
      </c>
      <c r="B249" t="s">
        <v>1381</v>
      </c>
      <c r="C249" s="1">
        <v>40909</v>
      </c>
      <c r="D249" s="1">
        <v>41274</v>
      </c>
      <c r="E249" t="s">
        <v>1382</v>
      </c>
      <c r="G249" t="s">
        <v>139</v>
      </c>
      <c r="H249" t="s">
        <v>47</v>
      </c>
      <c r="I249" t="str">
        <f>"49503"</f>
        <v>49503</v>
      </c>
      <c r="J249" t="s">
        <v>22</v>
      </c>
      <c r="K249" t="s">
        <v>23</v>
      </c>
      <c r="L249" s="2">
        <v>30562554</v>
      </c>
      <c r="M249" s="2">
        <v>2730387</v>
      </c>
      <c r="N249" s="2">
        <v>0</v>
      </c>
      <c r="O249" s="2">
        <v>3829212</v>
      </c>
      <c r="P249" t="s">
        <v>24</v>
      </c>
      <c r="Q249" t="s">
        <v>24</v>
      </c>
    </row>
    <row r="250" spans="1:17" x14ac:dyDescent="0.25">
      <c r="A250" t="s">
        <v>1857</v>
      </c>
      <c r="B250" t="s">
        <v>1858</v>
      </c>
      <c r="C250" s="1">
        <v>41487</v>
      </c>
      <c r="D250" s="1">
        <v>41851</v>
      </c>
      <c r="E250" t="s">
        <v>1859</v>
      </c>
      <c r="G250" t="s">
        <v>337</v>
      </c>
      <c r="H250" t="s">
        <v>62</v>
      </c>
      <c r="I250" t="str">
        <f>"44106"</f>
        <v>44106</v>
      </c>
      <c r="J250" t="s">
        <v>63</v>
      </c>
      <c r="K250" t="s">
        <v>23</v>
      </c>
      <c r="L250" s="2">
        <v>30355110</v>
      </c>
      <c r="M250" s="2">
        <v>925695</v>
      </c>
      <c r="N250" s="2">
        <v>29862844</v>
      </c>
      <c r="O250" s="2">
        <v>1425715</v>
      </c>
      <c r="P250" s="2">
        <v>244111</v>
      </c>
      <c r="Q250" s="2">
        <v>0</v>
      </c>
    </row>
    <row r="251" spans="1:17" x14ac:dyDescent="0.25">
      <c r="A251" t="s">
        <v>2566</v>
      </c>
      <c r="B251" t="s">
        <v>2567</v>
      </c>
      <c r="C251" s="1">
        <v>41275</v>
      </c>
      <c r="D251" s="1">
        <v>41639</v>
      </c>
      <c r="E251" t="s">
        <v>2568</v>
      </c>
      <c r="G251" t="s">
        <v>371</v>
      </c>
      <c r="H251" t="s">
        <v>29</v>
      </c>
      <c r="I251" t="str">
        <f>"60062"</f>
        <v>60062</v>
      </c>
      <c r="J251" t="s">
        <v>22</v>
      </c>
      <c r="K251" t="s">
        <v>30</v>
      </c>
      <c r="L251" s="2">
        <v>30306010</v>
      </c>
      <c r="M251" s="2">
        <v>10253848</v>
      </c>
      <c r="N251" s="2">
        <v>0</v>
      </c>
      <c r="O251" s="2">
        <v>2608593</v>
      </c>
      <c r="P251" t="s">
        <v>24</v>
      </c>
      <c r="Q251" t="s">
        <v>24</v>
      </c>
    </row>
    <row r="252" spans="1:17" x14ac:dyDescent="0.25">
      <c r="A252" t="s">
        <v>5798</v>
      </c>
      <c r="B252" t="s">
        <v>5799</v>
      </c>
      <c r="C252" s="1">
        <v>41275</v>
      </c>
      <c r="D252" s="1">
        <v>41639</v>
      </c>
      <c r="E252" t="s">
        <v>5800</v>
      </c>
      <c r="G252" t="s">
        <v>41</v>
      </c>
      <c r="H252" t="s">
        <v>42</v>
      </c>
      <c r="I252" t="str">
        <f>"53204"</f>
        <v>53204</v>
      </c>
      <c r="J252" t="s">
        <v>63</v>
      </c>
      <c r="K252" t="s">
        <v>23</v>
      </c>
      <c r="L252" s="2">
        <v>30289152</v>
      </c>
      <c r="M252" s="2">
        <v>3320977</v>
      </c>
      <c r="N252" s="2">
        <v>458473</v>
      </c>
      <c r="O252" s="2">
        <v>3120005</v>
      </c>
      <c r="P252" s="2">
        <v>202092</v>
      </c>
      <c r="Q252" s="2">
        <v>710707</v>
      </c>
    </row>
    <row r="253" spans="1:17" x14ac:dyDescent="0.25">
      <c r="A253" t="s">
        <v>5692</v>
      </c>
      <c r="B253" t="s">
        <v>5693</v>
      </c>
      <c r="C253" s="1">
        <v>41122</v>
      </c>
      <c r="D253" s="1">
        <v>41486</v>
      </c>
      <c r="E253" t="s">
        <v>50</v>
      </c>
      <c r="G253" t="s">
        <v>28</v>
      </c>
      <c r="H253" t="s">
        <v>29</v>
      </c>
      <c r="I253" t="str">
        <f>"60603"</f>
        <v>60603</v>
      </c>
      <c r="J253" t="s">
        <v>22</v>
      </c>
      <c r="K253" t="s">
        <v>23</v>
      </c>
      <c r="L253" s="2">
        <v>30260374</v>
      </c>
      <c r="M253" s="2">
        <v>6275030</v>
      </c>
      <c r="N253" s="2">
        <v>0</v>
      </c>
      <c r="O253" s="2">
        <v>1472819</v>
      </c>
      <c r="P253" t="s">
        <v>24</v>
      </c>
      <c r="Q253" t="s">
        <v>24</v>
      </c>
    </row>
    <row r="254" spans="1:17" x14ac:dyDescent="0.25">
      <c r="A254" t="s">
        <v>6583</v>
      </c>
      <c r="B254" t="s">
        <v>6584</v>
      </c>
      <c r="C254" s="1">
        <v>40909</v>
      </c>
      <c r="D254" s="1">
        <v>41274</v>
      </c>
      <c r="E254" t="s">
        <v>6585</v>
      </c>
      <c r="G254" t="s">
        <v>1648</v>
      </c>
      <c r="H254" t="s">
        <v>29</v>
      </c>
      <c r="I254" t="str">
        <f>"61826"</f>
        <v>61826</v>
      </c>
      <c r="J254" t="s">
        <v>63</v>
      </c>
      <c r="K254" t="s">
        <v>30</v>
      </c>
      <c r="L254" s="2">
        <v>30058198</v>
      </c>
      <c r="M254" s="2">
        <v>210180</v>
      </c>
      <c r="N254" s="2">
        <v>0</v>
      </c>
      <c r="O254" s="2">
        <v>126017</v>
      </c>
      <c r="P254" s="2">
        <v>21017</v>
      </c>
      <c r="Q254" s="2">
        <v>0</v>
      </c>
    </row>
    <row r="255" spans="1:17" x14ac:dyDescent="0.25">
      <c r="A255" t="s">
        <v>7238</v>
      </c>
      <c r="B255" t="s">
        <v>7239</v>
      </c>
      <c r="C255" s="1">
        <v>41456</v>
      </c>
      <c r="D255" s="1">
        <v>41820</v>
      </c>
      <c r="E255" t="s">
        <v>7240</v>
      </c>
      <c r="G255" t="s">
        <v>7241</v>
      </c>
      <c r="H255" t="s">
        <v>62</v>
      </c>
      <c r="I255" t="str">
        <f>"44133"</f>
        <v>44133</v>
      </c>
      <c r="J255" t="s">
        <v>22</v>
      </c>
      <c r="K255" t="s">
        <v>23</v>
      </c>
      <c r="L255" s="2">
        <v>29981981</v>
      </c>
      <c r="M255" s="2">
        <v>5390193</v>
      </c>
      <c r="N255" s="2">
        <v>1</v>
      </c>
      <c r="O255" s="2">
        <v>1916615</v>
      </c>
      <c r="P255" t="s">
        <v>24</v>
      </c>
      <c r="Q255" t="s">
        <v>24</v>
      </c>
    </row>
    <row r="256" spans="1:17" x14ac:dyDescent="0.25">
      <c r="A256" t="s">
        <v>6692</v>
      </c>
      <c r="B256" t="s">
        <v>6693</v>
      </c>
      <c r="C256" s="1">
        <v>41426</v>
      </c>
      <c r="D256" s="1">
        <v>41639</v>
      </c>
      <c r="E256" t="s">
        <v>6694</v>
      </c>
      <c r="G256" t="s">
        <v>20</v>
      </c>
      <c r="H256" t="s">
        <v>21</v>
      </c>
      <c r="I256" t="str">
        <f>"46240"</f>
        <v>46240</v>
      </c>
      <c r="J256" t="s">
        <v>22</v>
      </c>
      <c r="K256" t="s">
        <v>30</v>
      </c>
      <c r="L256" s="2">
        <v>29857619</v>
      </c>
      <c r="M256" s="2">
        <v>38290957</v>
      </c>
      <c r="N256" s="2">
        <v>0</v>
      </c>
      <c r="O256" s="2">
        <v>2433667</v>
      </c>
      <c r="P256" t="s">
        <v>24</v>
      </c>
      <c r="Q256" t="s">
        <v>24</v>
      </c>
    </row>
    <row r="257" spans="1:17" x14ac:dyDescent="0.25">
      <c r="A257" t="s">
        <v>3060</v>
      </c>
      <c r="B257" t="s">
        <v>3061</v>
      </c>
      <c r="C257" s="1">
        <v>41275</v>
      </c>
      <c r="D257" s="1">
        <v>41639</v>
      </c>
      <c r="E257" t="s">
        <v>3062</v>
      </c>
      <c r="G257" t="s">
        <v>1111</v>
      </c>
      <c r="H257" t="s">
        <v>47</v>
      </c>
      <c r="I257" t="str">
        <f>"48302"</f>
        <v>48302</v>
      </c>
      <c r="J257" t="s">
        <v>22</v>
      </c>
      <c r="K257" t="s">
        <v>23</v>
      </c>
      <c r="L257" s="2">
        <v>29829819</v>
      </c>
      <c r="M257" s="2">
        <v>9660242</v>
      </c>
      <c r="N257" s="2">
        <v>0</v>
      </c>
      <c r="O257" s="2">
        <v>1693509</v>
      </c>
      <c r="P257" t="s">
        <v>24</v>
      </c>
      <c r="Q257" t="s">
        <v>24</v>
      </c>
    </row>
    <row r="258" spans="1:17" x14ac:dyDescent="0.25">
      <c r="A258" t="s">
        <v>3309</v>
      </c>
      <c r="B258" t="s">
        <v>3310</v>
      </c>
      <c r="C258" s="1">
        <v>41275</v>
      </c>
      <c r="D258" s="1">
        <v>41639</v>
      </c>
      <c r="E258" t="s">
        <v>3311</v>
      </c>
      <c r="G258" t="s">
        <v>337</v>
      </c>
      <c r="H258" t="s">
        <v>62</v>
      </c>
      <c r="I258" t="str">
        <f>"44114"</f>
        <v>44114</v>
      </c>
      <c r="J258" t="s">
        <v>22</v>
      </c>
      <c r="K258" t="s">
        <v>30</v>
      </c>
      <c r="L258" s="2">
        <v>29816852</v>
      </c>
      <c r="M258" s="2">
        <v>16887011</v>
      </c>
      <c r="N258" s="2">
        <v>0</v>
      </c>
      <c r="O258" s="2">
        <v>5571267</v>
      </c>
      <c r="P258" t="s">
        <v>24</v>
      </c>
      <c r="Q258" t="s">
        <v>24</v>
      </c>
    </row>
    <row r="259" spans="1:17" x14ac:dyDescent="0.25">
      <c r="A259" t="s">
        <v>4984</v>
      </c>
      <c r="B259" t="s">
        <v>4985</v>
      </c>
      <c r="C259" s="1">
        <v>41275</v>
      </c>
      <c r="D259" s="1">
        <v>41639</v>
      </c>
      <c r="E259" t="s">
        <v>4986</v>
      </c>
      <c r="G259" t="s">
        <v>28</v>
      </c>
      <c r="H259" t="s">
        <v>29</v>
      </c>
      <c r="I259" t="str">
        <f>"60606"</f>
        <v>60606</v>
      </c>
      <c r="J259" t="s">
        <v>22</v>
      </c>
      <c r="K259" t="s">
        <v>23</v>
      </c>
      <c r="L259" s="2">
        <v>29797796</v>
      </c>
      <c r="M259" s="2">
        <v>12948405</v>
      </c>
      <c r="N259" s="2">
        <v>0</v>
      </c>
      <c r="O259" s="2">
        <v>1789277</v>
      </c>
      <c r="P259" t="s">
        <v>24</v>
      </c>
      <c r="Q259" t="s">
        <v>24</v>
      </c>
    </row>
    <row r="260" spans="1:17" x14ac:dyDescent="0.25">
      <c r="A260" t="s">
        <v>181</v>
      </c>
      <c r="B260" t="s">
        <v>182</v>
      </c>
      <c r="C260" s="1">
        <v>41273</v>
      </c>
      <c r="D260" s="1">
        <v>41636</v>
      </c>
      <c r="E260" t="s">
        <v>183</v>
      </c>
      <c r="G260" t="s">
        <v>184</v>
      </c>
      <c r="H260" t="s">
        <v>29</v>
      </c>
      <c r="I260" t="str">
        <f>"60015"</f>
        <v>60015</v>
      </c>
      <c r="J260" t="s">
        <v>22</v>
      </c>
      <c r="K260" t="s">
        <v>23</v>
      </c>
      <c r="L260" s="2">
        <v>29728808</v>
      </c>
      <c r="M260" s="2">
        <v>6904</v>
      </c>
      <c r="N260" s="2">
        <v>13418516</v>
      </c>
      <c r="O260" s="2">
        <v>5756151</v>
      </c>
      <c r="P260" t="s">
        <v>24</v>
      </c>
      <c r="Q260" t="s">
        <v>24</v>
      </c>
    </row>
    <row r="261" spans="1:17" x14ac:dyDescent="0.25">
      <c r="A261" t="s">
        <v>3289</v>
      </c>
      <c r="B261" t="s">
        <v>3290</v>
      </c>
      <c r="C261" s="1">
        <v>41275</v>
      </c>
      <c r="D261" s="1">
        <v>41639</v>
      </c>
      <c r="E261" t="s">
        <v>3291</v>
      </c>
      <c r="G261" t="s">
        <v>86</v>
      </c>
      <c r="H261" t="s">
        <v>42</v>
      </c>
      <c r="I261" t="str">
        <f>"53703"</f>
        <v>53703</v>
      </c>
      <c r="J261" t="s">
        <v>22</v>
      </c>
      <c r="K261" t="s">
        <v>23</v>
      </c>
      <c r="L261" s="2">
        <v>29577983</v>
      </c>
      <c r="M261" s="2">
        <v>8975077</v>
      </c>
      <c r="N261" s="2">
        <v>0</v>
      </c>
      <c r="O261" s="2">
        <v>1538548</v>
      </c>
      <c r="P261" t="s">
        <v>24</v>
      </c>
      <c r="Q261" t="s">
        <v>24</v>
      </c>
    </row>
    <row r="262" spans="1:17" x14ac:dyDescent="0.25">
      <c r="A262" t="s">
        <v>6947</v>
      </c>
      <c r="B262" t="s">
        <v>6948</v>
      </c>
      <c r="C262" s="1">
        <v>40544</v>
      </c>
      <c r="D262" s="1">
        <v>40908</v>
      </c>
      <c r="E262" t="s">
        <v>2898</v>
      </c>
      <c r="G262" t="s">
        <v>28</v>
      </c>
      <c r="H262" t="s">
        <v>29</v>
      </c>
      <c r="I262" t="str">
        <f>"60603"</f>
        <v>60603</v>
      </c>
      <c r="J262" t="s">
        <v>22</v>
      </c>
      <c r="K262" t="s">
        <v>30</v>
      </c>
      <c r="L262" s="2">
        <v>29476386</v>
      </c>
      <c r="M262" s="2">
        <v>8347855</v>
      </c>
      <c r="N262" s="2">
        <v>0</v>
      </c>
      <c r="O262" s="2">
        <v>1523377</v>
      </c>
      <c r="P262" t="s">
        <v>24</v>
      </c>
      <c r="Q262" t="s">
        <v>24</v>
      </c>
    </row>
    <row r="263" spans="1:17" x14ac:dyDescent="0.25">
      <c r="A263" t="s">
        <v>5261</v>
      </c>
      <c r="B263" t="s">
        <v>5262</v>
      </c>
      <c r="C263" s="1">
        <v>41275</v>
      </c>
      <c r="D263" s="1">
        <v>41639</v>
      </c>
      <c r="E263" t="s">
        <v>5263</v>
      </c>
      <c r="G263" t="s">
        <v>612</v>
      </c>
      <c r="H263" t="s">
        <v>42</v>
      </c>
      <c r="I263" t="str">
        <f>"53092"</f>
        <v>53092</v>
      </c>
      <c r="J263" t="s">
        <v>22</v>
      </c>
      <c r="K263" t="s">
        <v>23</v>
      </c>
      <c r="L263" s="2">
        <v>29411065</v>
      </c>
      <c r="M263" s="2">
        <v>1040223</v>
      </c>
      <c r="N263" s="2">
        <v>0</v>
      </c>
      <c r="O263" s="2">
        <v>1494085</v>
      </c>
      <c r="P263" t="s">
        <v>24</v>
      </c>
      <c r="Q263" t="s">
        <v>24</v>
      </c>
    </row>
    <row r="264" spans="1:17" x14ac:dyDescent="0.25">
      <c r="A264" t="s">
        <v>2202</v>
      </c>
      <c r="B264" t="s">
        <v>2203</v>
      </c>
      <c r="C264" s="1">
        <v>41275</v>
      </c>
      <c r="D264" s="1">
        <v>41639</v>
      </c>
      <c r="E264" t="s">
        <v>2204</v>
      </c>
      <c r="G264" t="s">
        <v>307</v>
      </c>
      <c r="H264" t="s">
        <v>29</v>
      </c>
      <c r="I264" t="str">
        <f>"60093"</f>
        <v>60093</v>
      </c>
      <c r="J264" t="s">
        <v>22</v>
      </c>
      <c r="K264" t="s">
        <v>23</v>
      </c>
      <c r="L264" s="2">
        <v>29411029</v>
      </c>
      <c r="M264" s="2">
        <v>4310938</v>
      </c>
      <c r="N264" s="2">
        <v>0</v>
      </c>
      <c r="O264" s="2">
        <v>1386943</v>
      </c>
      <c r="P264" t="s">
        <v>24</v>
      </c>
      <c r="Q264" t="s">
        <v>24</v>
      </c>
    </row>
    <row r="265" spans="1:17" x14ac:dyDescent="0.25">
      <c r="A265" t="s">
        <v>1252</v>
      </c>
      <c r="B265" t="s">
        <v>1253</v>
      </c>
      <c r="C265" s="1">
        <v>40909</v>
      </c>
      <c r="D265" s="1">
        <v>41274</v>
      </c>
      <c r="E265" t="s">
        <v>1254</v>
      </c>
      <c r="G265" t="s">
        <v>113</v>
      </c>
      <c r="H265" t="s">
        <v>42</v>
      </c>
      <c r="I265" t="str">
        <f>"53188"</f>
        <v>53188</v>
      </c>
      <c r="J265" t="s">
        <v>22</v>
      </c>
      <c r="K265" t="s">
        <v>23</v>
      </c>
      <c r="L265" s="2">
        <v>29308094</v>
      </c>
      <c r="M265" s="2">
        <v>4487831</v>
      </c>
      <c r="N265" s="2">
        <v>56872</v>
      </c>
      <c r="O265" s="2">
        <v>1822303</v>
      </c>
      <c r="P265" t="s">
        <v>24</v>
      </c>
      <c r="Q265" t="s">
        <v>24</v>
      </c>
    </row>
    <row r="266" spans="1:17" x14ac:dyDescent="0.25">
      <c r="A266" t="s">
        <v>6018</v>
      </c>
      <c r="B266" t="s">
        <v>6019</v>
      </c>
      <c r="C266" s="1">
        <v>41275</v>
      </c>
      <c r="D266" s="1">
        <v>41639</v>
      </c>
      <c r="E266" t="s">
        <v>6020</v>
      </c>
      <c r="F266" t="s">
        <v>6021</v>
      </c>
      <c r="G266" t="s">
        <v>6022</v>
      </c>
      <c r="H266" t="s">
        <v>47</v>
      </c>
      <c r="I266" t="str">
        <f>"49727"</f>
        <v>49727</v>
      </c>
      <c r="J266" t="s">
        <v>63</v>
      </c>
      <c r="K266" t="s">
        <v>64</v>
      </c>
      <c r="L266" s="2">
        <v>29208915</v>
      </c>
      <c r="M266" s="2">
        <v>2937229</v>
      </c>
      <c r="N266" s="2">
        <v>2160236</v>
      </c>
      <c r="O266" s="2">
        <v>1924146</v>
      </c>
      <c r="P266" s="2">
        <v>158626</v>
      </c>
      <c r="Q266" s="2">
        <v>69277</v>
      </c>
    </row>
    <row r="267" spans="1:17" x14ac:dyDescent="0.25">
      <c r="A267" t="s">
        <v>812</v>
      </c>
      <c r="B267" t="s">
        <v>813</v>
      </c>
      <c r="C267" s="1">
        <v>41275</v>
      </c>
      <c r="D267" s="1">
        <v>41639</v>
      </c>
      <c r="E267" t="s">
        <v>814</v>
      </c>
      <c r="G267" t="s">
        <v>815</v>
      </c>
      <c r="H267" t="s">
        <v>21</v>
      </c>
      <c r="I267" t="str">
        <f>"46410"</f>
        <v>46410</v>
      </c>
      <c r="J267" t="s">
        <v>22</v>
      </c>
      <c r="K267" t="s">
        <v>23</v>
      </c>
      <c r="L267" s="2">
        <v>29174598</v>
      </c>
      <c r="M267" s="2">
        <v>8301421</v>
      </c>
      <c r="N267" s="2">
        <v>0</v>
      </c>
      <c r="O267" s="2">
        <v>8746978</v>
      </c>
      <c r="P267" t="s">
        <v>24</v>
      </c>
      <c r="Q267" t="s">
        <v>24</v>
      </c>
    </row>
    <row r="268" spans="1:17" x14ac:dyDescent="0.25">
      <c r="A268" t="s">
        <v>7444</v>
      </c>
      <c r="B268" t="s">
        <v>7445</v>
      </c>
      <c r="C268" s="1">
        <v>41275</v>
      </c>
      <c r="D268" s="1">
        <v>41639</v>
      </c>
      <c r="E268" t="s">
        <v>7446</v>
      </c>
      <c r="G268" t="s">
        <v>5487</v>
      </c>
      <c r="H268" t="s">
        <v>62</v>
      </c>
      <c r="I268" t="str">
        <f>"45013"</f>
        <v>45013</v>
      </c>
      <c r="J268" t="s">
        <v>22</v>
      </c>
      <c r="K268" t="s">
        <v>23</v>
      </c>
      <c r="L268" s="2">
        <v>29140253</v>
      </c>
      <c r="M268" s="2">
        <v>4625900</v>
      </c>
      <c r="N268" s="2">
        <v>100000</v>
      </c>
      <c r="O268" s="2">
        <v>571001</v>
      </c>
      <c r="P268" t="s">
        <v>24</v>
      </c>
      <c r="Q268" t="s">
        <v>24</v>
      </c>
    </row>
    <row r="269" spans="1:17" x14ac:dyDescent="0.25">
      <c r="A269" t="s">
        <v>5955</v>
      </c>
      <c r="B269" t="s">
        <v>5956</v>
      </c>
      <c r="C269" s="1">
        <v>40909</v>
      </c>
      <c r="D269" s="1">
        <v>41274</v>
      </c>
      <c r="E269" t="s">
        <v>5957</v>
      </c>
      <c r="G269" t="s">
        <v>2652</v>
      </c>
      <c r="H269" t="s">
        <v>47</v>
      </c>
      <c r="I269" t="str">
        <f>"49058"</f>
        <v>49058</v>
      </c>
      <c r="J269" t="s">
        <v>752</v>
      </c>
      <c r="K269" t="s">
        <v>5958</v>
      </c>
      <c r="L269" s="2">
        <v>29134011</v>
      </c>
      <c r="M269" s="2">
        <v>20737527</v>
      </c>
      <c r="N269" s="2">
        <v>4232307</v>
      </c>
      <c r="O269" s="2">
        <v>1302043</v>
      </c>
      <c r="P269" t="s">
        <v>24</v>
      </c>
      <c r="Q269" t="s">
        <v>24</v>
      </c>
    </row>
    <row r="270" spans="1:17" x14ac:dyDescent="0.25">
      <c r="A270" t="s">
        <v>7682</v>
      </c>
      <c r="B270" t="s">
        <v>7683</v>
      </c>
      <c r="C270" s="1">
        <v>41275</v>
      </c>
      <c r="D270" s="1">
        <v>41639</v>
      </c>
      <c r="E270" t="s">
        <v>7684</v>
      </c>
      <c r="G270" t="s">
        <v>7685</v>
      </c>
      <c r="H270" t="s">
        <v>21</v>
      </c>
      <c r="I270" t="str">
        <f>"46312"</f>
        <v>46312</v>
      </c>
      <c r="J270" t="s">
        <v>22</v>
      </c>
      <c r="K270" t="s">
        <v>79</v>
      </c>
      <c r="L270" s="2">
        <v>29131505</v>
      </c>
      <c r="M270" s="2">
        <v>7728115</v>
      </c>
      <c r="N270" s="2">
        <v>648445</v>
      </c>
      <c r="O270" s="2">
        <v>5701218</v>
      </c>
      <c r="P270" t="s">
        <v>24</v>
      </c>
      <c r="Q270" t="s">
        <v>24</v>
      </c>
    </row>
    <row r="271" spans="1:17" x14ac:dyDescent="0.25">
      <c r="A271" t="s">
        <v>7366</v>
      </c>
      <c r="B271" t="s">
        <v>7367</v>
      </c>
      <c r="C271" s="1">
        <v>41275</v>
      </c>
      <c r="D271" s="1">
        <v>41639</v>
      </c>
      <c r="E271" t="s">
        <v>7368</v>
      </c>
      <c r="G271" t="s">
        <v>1785</v>
      </c>
      <c r="H271" t="s">
        <v>62</v>
      </c>
      <c r="I271" t="str">
        <f>"43402"</f>
        <v>43402</v>
      </c>
      <c r="J271" t="s">
        <v>63</v>
      </c>
      <c r="K271" t="s">
        <v>23</v>
      </c>
      <c r="L271" s="2">
        <v>29127250</v>
      </c>
      <c r="M271" s="2">
        <v>2025993</v>
      </c>
      <c r="N271" s="2">
        <v>0</v>
      </c>
      <c r="O271" s="2">
        <v>1394534</v>
      </c>
      <c r="P271" s="2">
        <v>312322</v>
      </c>
      <c r="Q271" s="2">
        <v>91397</v>
      </c>
    </row>
    <row r="272" spans="1:17" x14ac:dyDescent="0.25">
      <c r="A272" t="s">
        <v>1733</v>
      </c>
      <c r="B272" t="s">
        <v>1734</v>
      </c>
      <c r="C272" s="1">
        <v>41275</v>
      </c>
      <c r="D272" s="1">
        <v>41639</v>
      </c>
      <c r="E272" t="s">
        <v>1735</v>
      </c>
      <c r="F272" t="s">
        <v>1736</v>
      </c>
      <c r="G272" t="s">
        <v>1737</v>
      </c>
      <c r="H272" t="s">
        <v>62</v>
      </c>
      <c r="I272" t="str">
        <f>"45042"</f>
        <v>45042</v>
      </c>
      <c r="J272" t="s">
        <v>63</v>
      </c>
      <c r="K272" t="s">
        <v>64</v>
      </c>
      <c r="L272" s="2">
        <v>28930725</v>
      </c>
      <c r="M272" s="2">
        <v>6166587</v>
      </c>
      <c r="N272" s="2">
        <v>660038</v>
      </c>
      <c r="O272" s="2">
        <v>4411112</v>
      </c>
      <c r="P272" s="2">
        <v>370637</v>
      </c>
      <c r="Q272" s="2">
        <v>145280</v>
      </c>
    </row>
    <row r="273" spans="1:17" x14ac:dyDescent="0.25">
      <c r="A273" t="s">
        <v>5219</v>
      </c>
      <c r="B273" t="s">
        <v>5220</v>
      </c>
      <c r="C273" s="1">
        <v>41275</v>
      </c>
      <c r="D273" s="1">
        <v>41639</v>
      </c>
      <c r="E273" t="s">
        <v>5221</v>
      </c>
      <c r="G273" t="s">
        <v>28</v>
      </c>
      <c r="H273" t="s">
        <v>29</v>
      </c>
      <c r="I273" t="str">
        <f>"60654"</f>
        <v>60654</v>
      </c>
      <c r="J273" t="s">
        <v>22</v>
      </c>
      <c r="K273" t="s">
        <v>23</v>
      </c>
      <c r="L273" s="2">
        <v>28616762</v>
      </c>
      <c r="M273" s="2">
        <v>1796781</v>
      </c>
      <c r="N273" s="2">
        <v>0</v>
      </c>
      <c r="O273" s="2">
        <v>5078643</v>
      </c>
      <c r="P273" t="s">
        <v>24</v>
      </c>
      <c r="Q273" t="s">
        <v>24</v>
      </c>
    </row>
    <row r="274" spans="1:17" x14ac:dyDescent="0.25">
      <c r="A274" t="s">
        <v>525</v>
      </c>
      <c r="B274" t="s">
        <v>526</v>
      </c>
      <c r="C274" s="1">
        <v>41275</v>
      </c>
      <c r="D274" s="1">
        <v>41639</v>
      </c>
      <c r="E274" t="s">
        <v>527</v>
      </c>
      <c r="G274" t="s">
        <v>167</v>
      </c>
      <c r="H274" t="s">
        <v>62</v>
      </c>
      <c r="I274" t="str">
        <f>"45212"</f>
        <v>45212</v>
      </c>
      <c r="J274" t="s">
        <v>22</v>
      </c>
      <c r="K274" t="s">
        <v>30</v>
      </c>
      <c r="L274" s="2">
        <v>28614551</v>
      </c>
      <c r="M274" s="2">
        <v>8573617</v>
      </c>
      <c r="N274" s="2">
        <v>0</v>
      </c>
      <c r="O274" s="2">
        <v>1655803</v>
      </c>
      <c r="P274" t="s">
        <v>24</v>
      </c>
      <c r="Q274" t="s">
        <v>24</v>
      </c>
    </row>
    <row r="275" spans="1:17" x14ac:dyDescent="0.25">
      <c r="A275" t="s">
        <v>6380</v>
      </c>
      <c r="B275" t="s">
        <v>6381</v>
      </c>
      <c r="C275" s="1">
        <v>41183</v>
      </c>
      <c r="D275" s="1">
        <v>41547</v>
      </c>
      <c r="E275" t="s">
        <v>6382</v>
      </c>
      <c r="G275" t="s">
        <v>6383</v>
      </c>
      <c r="H275" t="s">
        <v>47</v>
      </c>
      <c r="I275" t="str">
        <f>"49707"</f>
        <v>49707</v>
      </c>
      <c r="J275" t="s">
        <v>63</v>
      </c>
      <c r="K275" t="s">
        <v>64</v>
      </c>
      <c r="L275" s="2">
        <v>28418209</v>
      </c>
      <c r="M275" s="2">
        <v>3655342</v>
      </c>
      <c r="N275" s="2">
        <v>4201510</v>
      </c>
      <c r="O275" s="2">
        <v>1084159</v>
      </c>
      <c r="P275" s="2">
        <v>246312</v>
      </c>
      <c r="Q275" s="2">
        <v>0</v>
      </c>
    </row>
    <row r="276" spans="1:17" x14ac:dyDescent="0.25">
      <c r="A276" t="s">
        <v>2169</v>
      </c>
      <c r="B276" t="s">
        <v>2170</v>
      </c>
      <c r="C276" s="1">
        <v>41275</v>
      </c>
      <c r="D276" s="1">
        <v>41639</v>
      </c>
      <c r="E276" t="s">
        <v>50</v>
      </c>
      <c r="G276" t="s">
        <v>28</v>
      </c>
      <c r="H276" t="s">
        <v>29</v>
      </c>
      <c r="I276" t="str">
        <f>"60603"</f>
        <v>60603</v>
      </c>
      <c r="J276" t="s">
        <v>22</v>
      </c>
      <c r="K276" t="s">
        <v>23</v>
      </c>
      <c r="L276" s="2">
        <v>28383871</v>
      </c>
      <c r="M276" s="2">
        <v>7339226</v>
      </c>
      <c r="N276" s="2">
        <v>0</v>
      </c>
      <c r="O276" s="2">
        <v>1378794</v>
      </c>
      <c r="P276" t="s">
        <v>24</v>
      </c>
      <c r="Q276" t="s">
        <v>24</v>
      </c>
    </row>
    <row r="277" spans="1:17" x14ac:dyDescent="0.25">
      <c r="A277" t="s">
        <v>3482</v>
      </c>
      <c r="B277" t="s">
        <v>3483</v>
      </c>
      <c r="C277" s="1">
        <v>41275</v>
      </c>
      <c r="D277" s="1">
        <v>41639</v>
      </c>
      <c r="E277" t="s">
        <v>374</v>
      </c>
      <c r="G277" t="s">
        <v>167</v>
      </c>
      <c r="H277" t="s">
        <v>62</v>
      </c>
      <c r="I277" t="str">
        <f>"45202"</f>
        <v>45202</v>
      </c>
      <c r="J277" t="s">
        <v>22</v>
      </c>
      <c r="K277" t="s">
        <v>30</v>
      </c>
      <c r="L277" s="2">
        <v>28380186</v>
      </c>
      <c r="M277" s="2">
        <v>14081205</v>
      </c>
      <c r="N277" s="2">
        <v>0</v>
      </c>
      <c r="O277" s="2">
        <v>1264947</v>
      </c>
      <c r="P277" t="s">
        <v>24</v>
      </c>
      <c r="Q277" t="s">
        <v>24</v>
      </c>
    </row>
    <row r="278" spans="1:17" x14ac:dyDescent="0.25">
      <c r="A278" t="s">
        <v>3495</v>
      </c>
      <c r="B278" t="s">
        <v>3496</v>
      </c>
      <c r="C278" s="1">
        <v>41275</v>
      </c>
      <c r="D278" s="1">
        <v>41639</v>
      </c>
      <c r="E278" t="s">
        <v>3497</v>
      </c>
      <c r="G278" t="s">
        <v>1172</v>
      </c>
      <c r="H278" t="s">
        <v>42</v>
      </c>
      <c r="I278" t="str">
        <f>"53547"</f>
        <v>53547</v>
      </c>
      <c r="J278" t="s">
        <v>22</v>
      </c>
      <c r="K278" t="s">
        <v>91</v>
      </c>
      <c r="L278" s="2">
        <v>28136215</v>
      </c>
      <c r="M278" s="2">
        <v>4325115</v>
      </c>
      <c r="N278" s="2">
        <v>0</v>
      </c>
      <c r="O278" s="2">
        <v>1498776</v>
      </c>
      <c r="P278" t="s">
        <v>24</v>
      </c>
      <c r="Q278" t="s">
        <v>24</v>
      </c>
    </row>
    <row r="279" spans="1:17" x14ac:dyDescent="0.25">
      <c r="A279" t="s">
        <v>3967</v>
      </c>
      <c r="B279" t="s">
        <v>3968</v>
      </c>
      <c r="C279" s="1">
        <v>41275</v>
      </c>
      <c r="D279" s="1">
        <v>41639</v>
      </c>
      <c r="E279" t="s">
        <v>3923</v>
      </c>
      <c r="G279" t="s">
        <v>3779</v>
      </c>
      <c r="H279" t="s">
        <v>62</v>
      </c>
      <c r="I279" t="str">
        <f>"44124"</f>
        <v>44124</v>
      </c>
      <c r="J279" t="s">
        <v>22</v>
      </c>
      <c r="K279" t="s">
        <v>30</v>
      </c>
      <c r="L279" s="2">
        <v>28056855</v>
      </c>
      <c r="M279" s="2">
        <v>12471815</v>
      </c>
      <c r="N279" s="2">
        <v>0</v>
      </c>
      <c r="O279" s="2">
        <v>1902596</v>
      </c>
      <c r="P279" t="s">
        <v>24</v>
      </c>
      <c r="Q279" t="s">
        <v>24</v>
      </c>
    </row>
    <row r="280" spans="1:17" x14ac:dyDescent="0.25">
      <c r="A280" t="s">
        <v>5518</v>
      </c>
      <c r="B280" t="s">
        <v>5519</v>
      </c>
      <c r="C280" s="1">
        <v>41275</v>
      </c>
      <c r="D280" s="1">
        <v>41639</v>
      </c>
      <c r="E280" t="s">
        <v>5520</v>
      </c>
      <c r="G280" t="s">
        <v>5521</v>
      </c>
      <c r="H280" t="s">
        <v>29</v>
      </c>
      <c r="I280" t="str">
        <f>"60525"</f>
        <v>60525</v>
      </c>
      <c r="J280" t="s">
        <v>22</v>
      </c>
      <c r="K280" t="s">
        <v>23</v>
      </c>
      <c r="L280" s="2">
        <v>28023838</v>
      </c>
      <c r="M280" s="2">
        <v>7408</v>
      </c>
      <c r="N280" s="2">
        <v>0</v>
      </c>
      <c r="O280" s="2">
        <v>3004575</v>
      </c>
      <c r="P280" t="s">
        <v>24</v>
      </c>
      <c r="Q280" t="s">
        <v>24</v>
      </c>
    </row>
    <row r="281" spans="1:17" x14ac:dyDescent="0.25">
      <c r="A281" t="s">
        <v>4692</v>
      </c>
      <c r="B281" t="s">
        <v>4693</v>
      </c>
      <c r="C281" s="1">
        <v>41214</v>
      </c>
      <c r="D281" s="1">
        <v>41578</v>
      </c>
      <c r="E281" t="s">
        <v>4694</v>
      </c>
      <c r="G281" t="s">
        <v>4695</v>
      </c>
      <c r="H281" t="s">
        <v>47</v>
      </c>
      <c r="I281" t="str">
        <f>"48854"</f>
        <v>48854</v>
      </c>
      <c r="J281" t="s">
        <v>22</v>
      </c>
      <c r="K281" t="s">
        <v>23</v>
      </c>
      <c r="L281" s="2">
        <v>27915774</v>
      </c>
      <c r="M281" s="2">
        <v>62756</v>
      </c>
      <c r="N281" s="2">
        <v>0</v>
      </c>
      <c r="O281" s="2">
        <v>252577</v>
      </c>
      <c r="P281" t="s">
        <v>24</v>
      </c>
      <c r="Q281" t="s">
        <v>24</v>
      </c>
    </row>
    <row r="282" spans="1:17" x14ac:dyDescent="0.25">
      <c r="A282" t="s">
        <v>6499</v>
      </c>
      <c r="B282" t="s">
        <v>6500</v>
      </c>
      <c r="C282" s="1">
        <v>41275</v>
      </c>
      <c r="D282" s="1">
        <v>41639</v>
      </c>
      <c r="E282" t="s">
        <v>6501</v>
      </c>
      <c r="G282" t="s">
        <v>737</v>
      </c>
      <c r="H282" t="s">
        <v>42</v>
      </c>
      <c r="I282" t="str">
        <f>"54935"</f>
        <v>54935</v>
      </c>
      <c r="J282" t="s">
        <v>63</v>
      </c>
      <c r="K282" t="s">
        <v>64</v>
      </c>
      <c r="L282" s="2">
        <v>27795567</v>
      </c>
      <c r="M282" s="2">
        <v>4283183</v>
      </c>
      <c r="N282" s="2">
        <v>0</v>
      </c>
      <c r="O282" s="2">
        <v>1248610</v>
      </c>
      <c r="P282" s="2">
        <v>125943</v>
      </c>
      <c r="Q282" s="2">
        <v>88070</v>
      </c>
    </row>
    <row r="283" spans="1:17" x14ac:dyDescent="0.25">
      <c r="A283" t="s">
        <v>7024</v>
      </c>
      <c r="B283" t="s">
        <v>7025</v>
      </c>
      <c r="C283" s="1">
        <v>41091</v>
      </c>
      <c r="D283" s="1">
        <v>41455</v>
      </c>
      <c r="E283" t="s">
        <v>7026</v>
      </c>
      <c r="G283" t="s">
        <v>167</v>
      </c>
      <c r="H283" t="s">
        <v>62</v>
      </c>
      <c r="I283" t="str">
        <f>"45202"</f>
        <v>45202</v>
      </c>
      <c r="J283" t="s">
        <v>22</v>
      </c>
      <c r="K283" t="s">
        <v>30</v>
      </c>
      <c r="L283" s="2">
        <v>27779855</v>
      </c>
      <c r="M283" s="2">
        <v>8883916</v>
      </c>
      <c r="N283" s="2">
        <v>119931</v>
      </c>
      <c r="O283" s="2">
        <v>3855363</v>
      </c>
      <c r="P283" t="s">
        <v>24</v>
      </c>
      <c r="Q283" t="s">
        <v>24</v>
      </c>
    </row>
    <row r="284" spans="1:17" x14ac:dyDescent="0.25">
      <c r="A284" t="s">
        <v>4598</v>
      </c>
      <c r="B284" t="s">
        <v>4599</v>
      </c>
      <c r="C284" s="1">
        <v>41275</v>
      </c>
      <c r="D284" s="1">
        <v>41639</v>
      </c>
      <c r="E284" t="s">
        <v>4600</v>
      </c>
      <c r="G284" t="s">
        <v>353</v>
      </c>
      <c r="H284" t="s">
        <v>62</v>
      </c>
      <c r="I284" t="str">
        <f>"43231"</f>
        <v>43231</v>
      </c>
      <c r="J284" t="s">
        <v>22</v>
      </c>
      <c r="K284" t="s">
        <v>91</v>
      </c>
      <c r="L284" s="2">
        <v>27748840</v>
      </c>
      <c r="M284" s="2">
        <v>12622393</v>
      </c>
      <c r="N284" s="2">
        <v>4000</v>
      </c>
      <c r="O284" s="2">
        <v>1533775</v>
      </c>
      <c r="P284" t="s">
        <v>24</v>
      </c>
      <c r="Q284" t="s">
        <v>24</v>
      </c>
    </row>
    <row r="285" spans="1:17" x14ac:dyDescent="0.25">
      <c r="A285" t="s">
        <v>1349</v>
      </c>
      <c r="B285" t="s">
        <v>1350</v>
      </c>
      <c r="C285" s="1">
        <v>41091</v>
      </c>
      <c r="D285" s="1">
        <v>41455</v>
      </c>
      <c r="E285" t="s">
        <v>1351</v>
      </c>
      <c r="G285" t="s">
        <v>1352</v>
      </c>
      <c r="H285" t="s">
        <v>21</v>
      </c>
      <c r="I285" t="str">
        <f>"47150"</f>
        <v>47150</v>
      </c>
      <c r="J285" t="s">
        <v>63</v>
      </c>
      <c r="K285" t="s">
        <v>64</v>
      </c>
      <c r="L285" s="2">
        <v>27728617</v>
      </c>
      <c r="M285" s="2">
        <v>2707945</v>
      </c>
      <c r="N285" s="2">
        <v>3270908</v>
      </c>
      <c r="O285" s="2">
        <v>2451513</v>
      </c>
      <c r="P285" s="2">
        <v>262199</v>
      </c>
      <c r="Q285" s="2">
        <v>177988</v>
      </c>
    </row>
    <row r="286" spans="1:17" x14ac:dyDescent="0.25">
      <c r="A286" t="s">
        <v>7693</v>
      </c>
      <c r="B286" t="s">
        <v>7694</v>
      </c>
      <c r="C286" s="1">
        <v>41275</v>
      </c>
      <c r="D286" s="1">
        <v>41639</v>
      </c>
      <c r="E286" t="s">
        <v>7695</v>
      </c>
      <c r="G286" t="s">
        <v>7696</v>
      </c>
      <c r="H286" t="s">
        <v>21</v>
      </c>
      <c r="I286" t="str">
        <f>"47040"</f>
        <v>47040</v>
      </c>
      <c r="J286" t="s">
        <v>63</v>
      </c>
      <c r="K286" t="s">
        <v>64</v>
      </c>
      <c r="L286" s="2">
        <v>27697842</v>
      </c>
      <c r="M286" s="2">
        <v>2364950</v>
      </c>
      <c r="N286" s="2">
        <v>18365523</v>
      </c>
      <c r="O286" s="2">
        <v>794823</v>
      </c>
      <c r="P286" s="2">
        <v>70899</v>
      </c>
      <c r="Q286" s="2">
        <v>99016</v>
      </c>
    </row>
    <row r="287" spans="1:17" x14ac:dyDescent="0.25">
      <c r="A287" t="s">
        <v>6014</v>
      </c>
      <c r="B287" t="s">
        <v>6015</v>
      </c>
      <c r="C287" s="1">
        <v>41275</v>
      </c>
      <c r="D287" s="1">
        <v>41639</v>
      </c>
      <c r="E287" t="s">
        <v>6016</v>
      </c>
      <c r="G287" t="s">
        <v>6017</v>
      </c>
      <c r="H287" t="s">
        <v>62</v>
      </c>
      <c r="I287" t="str">
        <f>"43701"</f>
        <v>43701</v>
      </c>
      <c r="J287" t="s">
        <v>63</v>
      </c>
      <c r="K287" t="s">
        <v>64</v>
      </c>
      <c r="L287" s="2">
        <v>27632045</v>
      </c>
      <c r="M287" s="2">
        <v>2812303</v>
      </c>
      <c r="N287" s="2">
        <v>4655087</v>
      </c>
      <c r="O287" s="2">
        <v>1544334</v>
      </c>
      <c r="P287" s="2">
        <v>494088</v>
      </c>
      <c r="Q287" s="2">
        <v>27774</v>
      </c>
    </row>
    <row r="288" spans="1:17" x14ac:dyDescent="0.25">
      <c r="A288" t="s">
        <v>961</v>
      </c>
      <c r="B288" t="s">
        <v>962</v>
      </c>
      <c r="C288" s="1">
        <v>41275</v>
      </c>
      <c r="D288" s="1">
        <v>41639</v>
      </c>
      <c r="E288" t="s">
        <v>963</v>
      </c>
      <c r="F288" t="s">
        <v>964</v>
      </c>
      <c r="G288" t="s">
        <v>965</v>
      </c>
      <c r="H288" t="s">
        <v>29</v>
      </c>
      <c r="I288" t="str">
        <f>"62523"</f>
        <v>62523</v>
      </c>
      <c r="J288" t="s">
        <v>63</v>
      </c>
      <c r="K288" t="s">
        <v>64</v>
      </c>
      <c r="L288" s="2">
        <v>27525860</v>
      </c>
      <c r="M288" s="2">
        <v>3058386</v>
      </c>
      <c r="N288" s="2">
        <v>3053175</v>
      </c>
      <c r="O288" s="2">
        <v>3304957</v>
      </c>
      <c r="P288" s="2">
        <v>216155</v>
      </c>
      <c r="Q288" s="2">
        <v>115986</v>
      </c>
    </row>
    <row r="289" spans="1:17" x14ac:dyDescent="0.25">
      <c r="A289" t="s">
        <v>1334</v>
      </c>
      <c r="B289" t="s">
        <v>1335</v>
      </c>
      <c r="C289" s="1">
        <v>41000</v>
      </c>
      <c r="D289" s="1">
        <v>41364</v>
      </c>
      <c r="E289" t="s">
        <v>50</v>
      </c>
      <c r="G289" t="s">
        <v>28</v>
      </c>
      <c r="H289" t="s">
        <v>29</v>
      </c>
      <c r="I289" t="str">
        <f>"60603"</f>
        <v>60603</v>
      </c>
      <c r="J289" t="s">
        <v>22</v>
      </c>
      <c r="K289" t="s">
        <v>30</v>
      </c>
      <c r="L289" s="2">
        <v>27441262</v>
      </c>
      <c r="M289" s="2">
        <v>11814922</v>
      </c>
      <c r="N289" s="2">
        <v>0</v>
      </c>
      <c r="O289" s="2">
        <v>1376582</v>
      </c>
      <c r="P289" t="s">
        <v>24</v>
      </c>
      <c r="Q289" t="s">
        <v>24</v>
      </c>
    </row>
    <row r="290" spans="1:17" x14ac:dyDescent="0.25">
      <c r="A290" t="s">
        <v>1125</v>
      </c>
      <c r="B290" t="s">
        <v>1126</v>
      </c>
      <c r="C290" s="1">
        <v>41275</v>
      </c>
      <c r="D290" s="1">
        <v>41639</v>
      </c>
      <c r="E290" t="s">
        <v>1127</v>
      </c>
      <c r="G290" t="s">
        <v>28</v>
      </c>
      <c r="H290" t="s">
        <v>29</v>
      </c>
      <c r="I290" t="str">
        <f>"60601"</f>
        <v>60601</v>
      </c>
      <c r="J290" t="s">
        <v>22</v>
      </c>
      <c r="K290" t="s">
        <v>30</v>
      </c>
      <c r="L290" s="2">
        <v>27434335</v>
      </c>
      <c r="M290" s="2">
        <v>13730596</v>
      </c>
      <c r="N290" s="2">
        <v>0</v>
      </c>
      <c r="O290" s="2">
        <v>3472306</v>
      </c>
      <c r="P290" t="s">
        <v>24</v>
      </c>
      <c r="Q290" t="s">
        <v>24</v>
      </c>
    </row>
    <row r="291" spans="1:17" x14ac:dyDescent="0.25">
      <c r="A291" t="s">
        <v>1073</v>
      </c>
      <c r="B291" t="s">
        <v>1074</v>
      </c>
      <c r="C291" s="1">
        <v>41275</v>
      </c>
      <c r="D291" s="1">
        <v>41639</v>
      </c>
      <c r="E291" t="s">
        <v>1075</v>
      </c>
      <c r="G291" t="s">
        <v>246</v>
      </c>
      <c r="H291" t="s">
        <v>29</v>
      </c>
      <c r="I291" t="str">
        <f>"60563"</f>
        <v>60563</v>
      </c>
      <c r="J291" t="s">
        <v>22</v>
      </c>
      <c r="K291" t="s">
        <v>23</v>
      </c>
      <c r="L291" s="2">
        <v>27420218</v>
      </c>
      <c r="M291" s="2">
        <v>17141393</v>
      </c>
      <c r="N291" s="2">
        <v>0</v>
      </c>
      <c r="O291" s="2">
        <v>1634796</v>
      </c>
      <c r="P291" t="s">
        <v>24</v>
      </c>
      <c r="Q291" t="s">
        <v>24</v>
      </c>
    </row>
    <row r="292" spans="1:17" x14ac:dyDescent="0.25">
      <c r="A292" t="s">
        <v>4029</v>
      </c>
      <c r="B292" t="s">
        <v>4030</v>
      </c>
      <c r="C292" s="1">
        <v>41091</v>
      </c>
      <c r="D292" s="1">
        <v>41455</v>
      </c>
      <c r="E292" t="s">
        <v>4031</v>
      </c>
      <c r="G292" t="s">
        <v>4032</v>
      </c>
      <c r="H292" t="s">
        <v>29</v>
      </c>
      <c r="I292" t="str">
        <f>"60439"</f>
        <v>60439</v>
      </c>
      <c r="J292" t="s">
        <v>63</v>
      </c>
      <c r="K292" t="s">
        <v>79</v>
      </c>
      <c r="L292" s="2">
        <v>27365955</v>
      </c>
      <c r="M292" s="2">
        <v>12229663</v>
      </c>
      <c r="N292" s="2">
        <v>12005051</v>
      </c>
      <c r="O292" s="2">
        <v>9498383</v>
      </c>
      <c r="P292" s="2">
        <v>1685434</v>
      </c>
      <c r="Q292" s="2">
        <v>85493</v>
      </c>
    </row>
    <row r="293" spans="1:17" x14ac:dyDescent="0.25">
      <c r="A293" t="s">
        <v>1675</v>
      </c>
      <c r="B293" t="s">
        <v>1676</v>
      </c>
      <c r="C293" s="1">
        <v>41275</v>
      </c>
      <c r="D293" s="1">
        <v>41639</v>
      </c>
      <c r="E293" t="s">
        <v>1677</v>
      </c>
      <c r="G293" t="s">
        <v>1678</v>
      </c>
      <c r="H293" t="s">
        <v>62</v>
      </c>
      <c r="I293" t="str">
        <f>"44139"</f>
        <v>44139</v>
      </c>
      <c r="J293" t="s">
        <v>22</v>
      </c>
      <c r="K293" t="s">
        <v>91</v>
      </c>
      <c r="L293" s="2">
        <v>27264418</v>
      </c>
      <c r="M293" s="2">
        <v>9922338</v>
      </c>
      <c r="N293" s="2">
        <v>0</v>
      </c>
      <c r="O293" s="2">
        <v>1065907</v>
      </c>
      <c r="P293" t="s">
        <v>24</v>
      </c>
      <c r="Q293" t="s">
        <v>24</v>
      </c>
    </row>
    <row r="294" spans="1:17" x14ac:dyDescent="0.25">
      <c r="A294" t="s">
        <v>6269</v>
      </c>
      <c r="B294" t="s">
        <v>6270</v>
      </c>
      <c r="C294" s="1">
        <v>41609</v>
      </c>
      <c r="D294" s="1">
        <v>41973</v>
      </c>
      <c r="E294" t="s">
        <v>6271</v>
      </c>
      <c r="G294" t="s">
        <v>768</v>
      </c>
      <c r="H294" t="s">
        <v>62</v>
      </c>
      <c r="I294" t="str">
        <f>"44122"</f>
        <v>44122</v>
      </c>
      <c r="J294" t="s">
        <v>22</v>
      </c>
      <c r="K294" t="s">
        <v>23</v>
      </c>
      <c r="L294" s="2">
        <v>27238287</v>
      </c>
      <c r="M294" s="2">
        <v>7913833</v>
      </c>
      <c r="N294" s="2">
        <v>0</v>
      </c>
      <c r="O294" s="2">
        <v>1716337</v>
      </c>
      <c r="P294" t="s">
        <v>24</v>
      </c>
      <c r="Q294" t="s">
        <v>24</v>
      </c>
    </row>
    <row r="295" spans="1:17" x14ac:dyDescent="0.25">
      <c r="A295" t="s">
        <v>7649</v>
      </c>
      <c r="B295" t="s">
        <v>7650</v>
      </c>
      <c r="C295" s="1">
        <v>41275</v>
      </c>
      <c r="D295" s="1">
        <v>41639</v>
      </c>
      <c r="E295" t="s">
        <v>7651</v>
      </c>
      <c r="F295" t="s">
        <v>7652</v>
      </c>
      <c r="G295" t="s">
        <v>1265</v>
      </c>
      <c r="H295" t="s">
        <v>29</v>
      </c>
      <c r="I295" t="str">
        <f>"60301"</f>
        <v>60301</v>
      </c>
      <c r="J295" t="s">
        <v>63</v>
      </c>
      <c r="K295" t="s">
        <v>64</v>
      </c>
      <c r="L295" s="2">
        <v>27176331</v>
      </c>
      <c r="M295" s="2">
        <v>4275720</v>
      </c>
      <c r="N295" s="2">
        <v>12041</v>
      </c>
      <c r="O295" s="2">
        <v>2454206</v>
      </c>
      <c r="P295" s="2">
        <v>334994</v>
      </c>
      <c r="Q295" s="2">
        <v>92283</v>
      </c>
    </row>
    <row r="296" spans="1:17" x14ac:dyDescent="0.25">
      <c r="A296" t="s">
        <v>1230</v>
      </c>
      <c r="B296" t="s">
        <v>1231</v>
      </c>
      <c r="C296" s="1">
        <v>41456</v>
      </c>
      <c r="D296" s="1">
        <v>41820</v>
      </c>
      <c r="E296" t="s">
        <v>1232</v>
      </c>
      <c r="F296" t="s">
        <v>1233</v>
      </c>
      <c r="G296" t="s">
        <v>229</v>
      </c>
      <c r="H296" t="s">
        <v>29</v>
      </c>
      <c r="I296" t="str">
        <f>"61602"</f>
        <v>61602</v>
      </c>
      <c r="J296" t="s">
        <v>63</v>
      </c>
      <c r="K296" t="s">
        <v>64</v>
      </c>
      <c r="L296" s="2">
        <v>26983643</v>
      </c>
      <c r="M296" s="2">
        <v>3028597</v>
      </c>
      <c r="N296" s="2">
        <v>8866415</v>
      </c>
      <c r="O296" s="2">
        <v>1318071</v>
      </c>
      <c r="P296" s="2">
        <v>370588</v>
      </c>
      <c r="Q296" s="2">
        <v>19608</v>
      </c>
    </row>
    <row r="297" spans="1:17" x14ac:dyDescent="0.25">
      <c r="A297" t="s">
        <v>65</v>
      </c>
      <c r="B297" t="s">
        <v>66</v>
      </c>
      <c r="C297" s="1">
        <v>41518</v>
      </c>
      <c r="D297" s="1">
        <v>41882</v>
      </c>
      <c r="E297" t="s">
        <v>67</v>
      </c>
      <c r="G297" t="s">
        <v>68</v>
      </c>
      <c r="H297" t="s">
        <v>29</v>
      </c>
      <c r="I297" t="str">
        <f>"60068"</f>
        <v>60068</v>
      </c>
      <c r="J297" t="s">
        <v>63</v>
      </c>
      <c r="K297" t="s">
        <v>23</v>
      </c>
      <c r="L297" s="2">
        <v>26942203</v>
      </c>
      <c r="M297" s="2">
        <v>2684851</v>
      </c>
      <c r="N297" s="2">
        <v>146446</v>
      </c>
      <c r="O297" s="2">
        <v>1664015</v>
      </c>
      <c r="P297" s="2">
        <v>411073</v>
      </c>
      <c r="Q297" s="2">
        <v>144050</v>
      </c>
    </row>
    <row r="298" spans="1:17" x14ac:dyDescent="0.25">
      <c r="A298" t="s">
        <v>7596</v>
      </c>
      <c r="B298" t="s">
        <v>7597</v>
      </c>
      <c r="C298" s="1">
        <v>41426</v>
      </c>
      <c r="D298" s="1">
        <v>41790</v>
      </c>
      <c r="E298" t="s">
        <v>7598</v>
      </c>
      <c r="G298" t="s">
        <v>1648</v>
      </c>
      <c r="H298" t="s">
        <v>29</v>
      </c>
      <c r="I298" t="str">
        <f>"61820"</f>
        <v>61820</v>
      </c>
      <c r="J298" t="s">
        <v>22</v>
      </c>
      <c r="K298" t="s">
        <v>23</v>
      </c>
      <c r="L298" s="2">
        <v>26565085</v>
      </c>
      <c r="M298" s="2">
        <v>4977096</v>
      </c>
      <c r="N298" s="2">
        <v>267500</v>
      </c>
      <c r="O298" s="2">
        <v>1268255</v>
      </c>
      <c r="P298" t="s">
        <v>24</v>
      </c>
      <c r="Q298" t="s">
        <v>24</v>
      </c>
    </row>
    <row r="299" spans="1:17" x14ac:dyDescent="0.25">
      <c r="A299" t="s">
        <v>3479</v>
      </c>
      <c r="B299" t="s">
        <v>3480</v>
      </c>
      <c r="C299" s="1">
        <v>41275</v>
      </c>
      <c r="D299" s="1">
        <v>41639</v>
      </c>
      <c r="E299" t="s">
        <v>3481</v>
      </c>
      <c r="G299" t="s">
        <v>311</v>
      </c>
      <c r="H299" t="s">
        <v>21</v>
      </c>
      <c r="I299" t="str">
        <f>"46545"</f>
        <v>46545</v>
      </c>
      <c r="J299" t="s">
        <v>22</v>
      </c>
      <c r="K299" t="s">
        <v>23</v>
      </c>
      <c r="L299" s="2">
        <v>26462177</v>
      </c>
      <c r="M299" s="2">
        <v>2611189</v>
      </c>
      <c r="N299" s="2">
        <v>4549823</v>
      </c>
      <c r="O299" s="2">
        <v>1843971</v>
      </c>
      <c r="P299" t="s">
        <v>24</v>
      </c>
      <c r="Q299" t="s">
        <v>24</v>
      </c>
    </row>
    <row r="300" spans="1:17" x14ac:dyDescent="0.25">
      <c r="A300" t="s">
        <v>7017</v>
      </c>
      <c r="B300" t="s">
        <v>7018</v>
      </c>
      <c r="C300" s="1">
        <v>41456</v>
      </c>
      <c r="D300" s="1">
        <v>41820</v>
      </c>
      <c r="E300" t="s">
        <v>7019</v>
      </c>
      <c r="G300" t="s">
        <v>2652</v>
      </c>
      <c r="H300" t="s">
        <v>47</v>
      </c>
      <c r="I300" t="str">
        <f>"49058"</f>
        <v>49058</v>
      </c>
      <c r="J300" t="s">
        <v>63</v>
      </c>
      <c r="K300" t="s">
        <v>64</v>
      </c>
      <c r="L300" s="2">
        <v>26368396</v>
      </c>
      <c r="M300" s="2">
        <v>3047864</v>
      </c>
      <c r="N300" s="2">
        <v>314555</v>
      </c>
      <c r="O300" s="2">
        <v>1550451</v>
      </c>
      <c r="P300" s="2">
        <v>209034</v>
      </c>
      <c r="Q300" s="2">
        <v>144875</v>
      </c>
    </row>
    <row r="301" spans="1:17" x14ac:dyDescent="0.25">
      <c r="A301" t="s">
        <v>5984</v>
      </c>
      <c r="B301" t="s">
        <v>5985</v>
      </c>
      <c r="C301" s="1">
        <v>41244</v>
      </c>
      <c r="D301" s="1">
        <v>41608</v>
      </c>
      <c r="E301" t="s">
        <v>163</v>
      </c>
      <c r="G301" t="s">
        <v>28</v>
      </c>
      <c r="H301" t="s">
        <v>29</v>
      </c>
      <c r="I301" t="str">
        <f>"60603"</f>
        <v>60603</v>
      </c>
      <c r="J301" t="s">
        <v>22</v>
      </c>
      <c r="K301" t="s">
        <v>23</v>
      </c>
      <c r="L301" s="2">
        <v>26334007</v>
      </c>
      <c r="M301" s="2">
        <v>9100771</v>
      </c>
      <c r="N301" s="2">
        <v>0</v>
      </c>
      <c r="O301" s="2">
        <v>1744806</v>
      </c>
      <c r="P301" t="s">
        <v>24</v>
      </c>
      <c r="Q301" t="s">
        <v>24</v>
      </c>
    </row>
    <row r="302" spans="1:17" x14ac:dyDescent="0.25">
      <c r="A302" t="s">
        <v>7087</v>
      </c>
      <c r="B302" t="s">
        <v>7088</v>
      </c>
      <c r="C302" s="1">
        <v>41275</v>
      </c>
      <c r="D302" s="1">
        <v>41639</v>
      </c>
      <c r="E302" t="s">
        <v>7089</v>
      </c>
      <c r="G302" t="s">
        <v>6969</v>
      </c>
      <c r="H302" t="s">
        <v>21</v>
      </c>
      <c r="I302" t="str">
        <f>"46975"</f>
        <v>46975</v>
      </c>
      <c r="J302" t="s">
        <v>63</v>
      </c>
      <c r="K302" t="s">
        <v>64</v>
      </c>
      <c r="L302" s="2">
        <v>26253513</v>
      </c>
      <c r="M302" s="2">
        <v>4244429</v>
      </c>
      <c r="N302" s="2">
        <v>2736881</v>
      </c>
      <c r="O302" s="2">
        <v>2779409</v>
      </c>
      <c r="P302" s="2">
        <v>647804</v>
      </c>
      <c r="Q302" s="2">
        <v>218717</v>
      </c>
    </row>
    <row r="303" spans="1:17" x14ac:dyDescent="0.25">
      <c r="A303" t="s">
        <v>6856</v>
      </c>
      <c r="B303" t="s">
        <v>6857</v>
      </c>
      <c r="C303" s="1">
        <v>41275</v>
      </c>
      <c r="D303" s="1">
        <v>41639</v>
      </c>
      <c r="E303" t="s">
        <v>6858</v>
      </c>
      <c r="G303" t="s">
        <v>6859</v>
      </c>
      <c r="H303" t="s">
        <v>47</v>
      </c>
      <c r="I303" t="str">
        <f>"49002"</f>
        <v>49002</v>
      </c>
      <c r="J303" t="s">
        <v>22</v>
      </c>
      <c r="K303" t="s">
        <v>23</v>
      </c>
      <c r="L303" s="2">
        <v>26239580</v>
      </c>
      <c r="M303" s="2">
        <v>6408740</v>
      </c>
      <c r="N303" s="2">
        <v>0</v>
      </c>
      <c r="O303" s="2">
        <v>995535</v>
      </c>
      <c r="P303" t="s">
        <v>24</v>
      </c>
      <c r="Q303" t="s">
        <v>24</v>
      </c>
    </row>
    <row r="304" spans="1:17" x14ac:dyDescent="0.25">
      <c r="A304" t="s">
        <v>6416</v>
      </c>
      <c r="B304" t="s">
        <v>6417</v>
      </c>
      <c r="C304" s="1">
        <v>41275</v>
      </c>
      <c r="D304" s="1">
        <v>41639</v>
      </c>
      <c r="E304" t="s">
        <v>6418</v>
      </c>
      <c r="G304" t="s">
        <v>353</v>
      </c>
      <c r="H304" t="s">
        <v>62</v>
      </c>
      <c r="I304" t="str">
        <f>"43215"</f>
        <v>43215</v>
      </c>
      <c r="J304" t="s">
        <v>22</v>
      </c>
      <c r="K304" t="s">
        <v>23</v>
      </c>
      <c r="L304" s="2">
        <v>26187312</v>
      </c>
      <c r="M304" s="2">
        <v>3630365</v>
      </c>
      <c r="N304" s="2">
        <v>0</v>
      </c>
      <c r="O304" s="2">
        <v>3041398</v>
      </c>
      <c r="P304" t="s">
        <v>24</v>
      </c>
      <c r="Q304" t="s">
        <v>24</v>
      </c>
    </row>
    <row r="305" spans="1:17" x14ac:dyDescent="0.25">
      <c r="A305" t="s">
        <v>3414</v>
      </c>
      <c r="B305" t="s">
        <v>3415</v>
      </c>
      <c r="C305" s="1">
        <v>41579</v>
      </c>
      <c r="D305" s="1">
        <v>41943</v>
      </c>
      <c r="E305" t="s">
        <v>3416</v>
      </c>
      <c r="G305" t="s">
        <v>3417</v>
      </c>
      <c r="H305" t="s">
        <v>78</v>
      </c>
      <c r="I305" t="str">
        <f>"42431"</f>
        <v>42431</v>
      </c>
      <c r="J305" t="s">
        <v>22</v>
      </c>
      <c r="K305" t="s">
        <v>30</v>
      </c>
      <c r="L305" s="2">
        <v>26048847</v>
      </c>
      <c r="M305" s="2">
        <v>8178281</v>
      </c>
      <c r="N305" s="2">
        <v>5868959</v>
      </c>
      <c r="O305" s="2">
        <v>3648318</v>
      </c>
      <c r="P305" t="s">
        <v>24</v>
      </c>
      <c r="Q305" t="s">
        <v>24</v>
      </c>
    </row>
    <row r="306" spans="1:17" x14ac:dyDescent="0.25">
      <c r="A306" t="s">
        <v>792</v>
      </c>
      <c r="B306" t="s">
        <v>793</v>
      </c>
      <c r="C306" s="1">
        <v>41275</v>
      </c>
      <c r="D306" s="1">
        <v>41639</v>
      </c>
      <c r="E306" t="s">
        <v>794</v>
      </c>
      <c r="G306" t="s">
        <v>795</v>
      </c>
      <c r="H306" t="s">
        <v>21</v>
      </c>
      <c r="I306" t="str">
        <f>"46361"</f>
        <v>46361</v>
      </c>
      <c r="J306" t="s">
        <v>63</v>
      </c>
      <c r="K306" t="s">
        <v>79</v>
      </c>
      <c r="L306" s="2">
        <v>25889073</v>
      </c>
      <c r="M306" s="2">
        <v>2525841</v>
      </c>
      <c r="N306" s="2">
        <v>227664</v>
      </c>
      <c r="O306" s="2">
        <v>2353920</v>
      </c>
      <c r="P306" s="2">
        <v>266835</v>
      </c>
      <c r="Q306" s="2">
        <v>198143</v>
      </c>
    </row>
    <row r="307" spans="1:17" x14ac:dyDescent="0.25">
      <c r="A307" t="s">
        <v>7373</v>
      </c>
      <c r="B307" t="s">
        <v>7374</v>
      </c>
      <c r="C307" s="1">
        <v>41275</v>
      </c>
      <c r="D307" s="1">
        <v>41639</v>
      </c>
      <c r="E307" t="s">
        <v>1662</v>
      </c>
      <c r="G307" t="s">
        <v>337</v>
      </c>
      <c r="H307" t="s">
        <v>62</v>
      </c>
      <c r="I307" t="str">
        <f>"44130"</f>
        <v>44130</v>
      </c>
      <c r="J307" t="s">
        <v>22</v>
      </c>
      <c r="K307" t="s">
        <v>23</v>
      </c>
      <c r="L307" s="2">
        <v>25855653</v>
      </c>
      <c r="M307" s="2">
        <v>2640853</v>
      </c>
      <c r="N307" s="2">
        <v>10431</v>
      </c>
      <c r="O307" s="2">
        <v>1247194</v>
      </c>
      <c r="P307" t="s">
        <v>24</v>
      </c>
      <c r="Q307" t="s">
        <v>24</v>
      </c>
    </row>
    <row r="308" spans="1:17" x14ac:dyDescent="0.25">
      <c r="A308" t="s">
        <v>6727</v>
      </c>
      <c r="B308" t="s">
        <v>6728</v>
      </c>
      <c r="C308" s="1">
        <v>41275</v>
      </c>
      <c r="D308" s="1">
        <v>41639</v>
      </c>
      <c r="E308" t="s">
        <v>6729</v>
      </c>
      <c r="G308" t="s">
        <v>28</v>
      </c>
      <c r="H308" t="s">
        <v>29</v>
      </c>
      <c r="I308" t="str">
        <f>"60601"</f>
        <v>60601</v>
      </c>
      <c r="J308" t="s">
        <v>22</v>
      </c>
      <c r="K308" t="s">
        <v>30</v>
      </c>
      <c r="L308" s="2">
        <v>25849859</v>
      </c>
      <c r="M308" s="2">
        <v>4490953</v>
      </c>
      <c r="N308" s="2">
        <v>0</v>
      </c>
      <c r="O308" s="2">
        <v>4795444</v>
      </c>
      <c r="P308" t="s">
        <v>24</v>
      </c>
      <c r="Q308" t="s">
        <v>24</v>
      </c>
    </row>
    <row r="309" spans="1:17" x14ac:dyDescent="0.25">
      <c r="A309" t="s">
        <v>1221</v>
      </c>
      <c r="B309" t="s">
        <v>1222</v>
      </c>
      <c r="C309" s="1">
        <v>41275</v>
      </c>
      <c r="D309" s="1">
        <v>41639</v>
      </c>
      <c r="E309" t="s">
        <v>1223</v>
      </c>
      <c r="G309" t="s">
        <v>250</v>
      </c>
      <c r="H309" t="s">
        <v>62</v>
      </c>
      <c r="I309" t="str">
        <f>"44108"</f>
        <v>44108</v>
      </c>
      <c r="J309" t="s">
        <v>22</v>
      </c>
      <c r="K309" t="s">
        <v>23</v>
      </c>
      <c r="L309" s="2">
        <v>25773365</v>
      </c>
      <c r="M309" s="2">
        <v>18719318</v>
      </c>
      <c r="N309" s="2">
        <v>0</v>
      </c>
      <c r="O309" s="2">
        <v>1209134</v>
      </c>
      <c r="P309" t="s">
        <v>24</v>
      </c>
      <c r="Q309" t="s">
        <v>24</v>
      </c>
    </row>
    <row r="310" spans="1:17" x14ac:dyDescent="0.25">
      <c r="A310" t="s">
        <v>6594</v>
      </c>
      <c r="B310" t="s">
        <v>6595</v>
      </c>
      <c r="C310" s="1">
        <v>41275</v>
      </c>
      <c r="D310" s="1">
        <v>41639</v>
      </c>
      <c r="E310" t="s">
        <v>6596</v>
      </c>
      <c r="G310" t="s">
        <v>6597</v>
      </c>
      <c r="H310" t="s">
        <v>47</v>
      </c>
      <c r="I310" t="str">
        <f>"48838"</f>
        <v>48838</v>
      </c>
      <c r="J310" t="s">
        <v>63</v>
      </c>
      <c r="K310" t="s">
        <v>64</v>
      </c>
      <c r="L310" s="2">
        <v>25702554</v>
      </c>
      <c r="M310" s="2">
        <v>1473582</v>
      </c>
      <c r="N310" s="2">
        <v>862920</v>
      </c>
      <c r="O310" s="2">
        <v>1400719</v>
      </c>
      <c r="P310" s="2">
        <v>412471</v>
      </c>
      <c r="Q310" s="2">
        <v>0</v>
      </c>
    </row>
    <row r="311" spans="1:17" x14ac:dyDescent="0.25">
      <c r="A311" t="s">
        <v>4991</v>
      </c>
      <c r="B311" t="s">
        <v>4992</v>
      </c>
      <c r="C311" s="1">
        <v>41275</v>
      </c>
      <c r="D311" s="1">
        <v>41639</v>
      </c>
      <c r="E311" t="s">
        <v>4993</v>
      </c>
      <c r="G311" t="s">
        <v>28</v>
      </c>
      <c r="H311" t="s">
        <v>29</v>
      </c>
      <c r="I311" t="str">
        <f>"60614"</f>
        <v>60614</v>
      </c>
      <c r="J311" t="s">
        <v>22</v>
      </c>
      <c r="K311" t="s">
        <v>23</v>
      </c>
      <c r="L311" s="2">
        <v>25599452</v>
      </c>
      <c r="M311" s="2">
        <v>8562404</v>
      </c>
      <c r="N311" s="2">
        <v>0</v>
      </c>
      <c r="O311" s="2">
        <v>1414586</v>
      </c>
      <c r="P311" t="s">
        <v>24</v>
      </c>
      <c r="Q311" t="s">
        <v>24</v>
      </c>
    </row>
    <row r="312" spans="1:17" x14ac:dyDescent="0.25">
      <c r="A312" t="s">
        <v>5894</v>
      </c>
      <c r="B312" t="s">
        <v>5895</v>
      </c>
      <c r="C312" s="1">
        <v>41275</v>
      </c>
      <c r="D312" s="1">
        <v>41639</v>
      </c>
      <c r="E312" t="s">
        <v>5896</v>
      </c>
      <c r="G312" t="s">
        <v>5897</v>
      </c>
      <c r="H312" t="s">
        <v>21</v>
      </c>
      <c r="I312" t="str">
        <f>"47547"</f>
        <v>47547</v>
      </c>
      <c r="J312" t="s">
        <v>63</v>
      </c>
      <c r="K312" t="s">
        <v>64</v>
      </c>
      <c r="L312" s="2">
        <v>25493192</v>
      </c>
      <c r="M312" s="2">
        <v>2317174</v>
      </c>
      <c r="N312" s="2">
        <v>694384</v>
      </c>
      <c r="O312" s="2">
        <v>965648</v>
      </c>
      <c r="P312" s="2">
        <v>210124</v>
      </c>
      <c r="Q312" s="2">
        <v>96059</v>
      </c>
    </row>
    <row r="313" spans="1:17" x14ac:dyDescent="0.25">
      <c r="A313" t="s">
        <v>7167</v>
      </c>
      <c r="B313" t="s">
        <v>7168</v>
      </c>
      <c r="C313" s="1">
        <v>41275</v>
      </c>
      <c r="D313" s="1">
        <v>41639</v>
      </c>
      <c r="E313" t="s">
        <v>7169</v>
      </c>
      <c r="G313" t="s">
        <v>1625</v>
      </c>
      <c r="H313" t="s">
        <v>42</v>
      </c>
      <c r="I313" t="str">
        <f>"53045"</f>
        <v>53045</v>
      </c>
      <c r="J313" t="s">
        <v>22</v>
      </c>
      <c r="K313" t="s">
        <v>23</v>
      </c>
      <c r="L313" s="2">
        <v>25417553</v>
      </c>
      <c r="M313" s="2">
        <v>3028591</v>
      </c>
      <c r="N313" s="2">
        <v>0</v>
      </c>
      <c r="O313" s="2">
        <v>587334</v>
      </c>
      <c r="P313" t="s">
        <v>24</v>
      </c>
      <c r="Q313" t="s">
        <v>24</v>
      </c>
    </row>
    <row r="314" spans="1:17" x14ac:dyDescent="0.25">
      <c r="A314" t="s">
        <v>5634</v>
      </c>
      <c r="B314" t="s">
        <v>5635</v>
      </c>
      <c r="C314" s="1">
        <v>41275</v>
      </c>
      <c r="D314" s="1">
        <v>41639</v>
      </c>
      <c r="E314" t="s">
        <v>3888</v>
      </c>
      <c r="G314" t="s">
        <v>258</v>
      </c>
      <c r="H314" t="s">
        <v>62</v>
      </c>
      <c r="I314" t="str">
        <f>"44512"</f>
        <v>44512</v>
      </c>
      <c r="J314" t="s">
        <v>22</v>
      </c>
      <c r="K314" t="s">
        <v>30</v>
      </c>
      <c r="L314" s="2">
        <v>25367936</v>
      </c>
      <c r="M314" s="2">
        <v>12659029</v>
      </c>
      <c r="N314" s="2">
        <v>0</v>
      </c>
      <c r="O314" s="2">
        <v>1159201</v>
      </c>
      <c r="P314" t="s">
        <v>24</v>
      </c>
      <c r="Q314" t="s">
        <v>24</v>
      </c>
    </row>
    <row r="315" spans="1:17" x14ac:dyDescent="0.25">
      <c r="A315" t="s">
        <v>6156</v>
      </c>
      <c r="B315" t="s">
        <v>6157</v>
      </c>
      <c r="C315" s="1">
        <v>41275</v>
      </c>
      <c r="D315" s="1">
        <v>41639</v>
      </c>
      <c r="E315" t="s">
        <v>6158</v>
      </c>
      <c r="G315" t="s">
        <v>6159</v>
      </c>
      <c r="H315" t="s">
        <v>21</v>
      </c>
      <c r="I315" t="str">
        <f>"46140"</f>
        <v>46140</v>
      </c>
      <c r="J315" t="s">
        <v>63</v>
      </c>
      <c r="K315" t="s">
        <v>64</v>
      </c>
      <c r="L315" s="2">
        <v>25204807</v>
      </c>
      <c r="M315" s="2">
        <v>3075024</v>
      </c>
      <c r="N315" s="2">
        <v>451038</v>
      </c>
      <c r="O315" s="2">
        <v>1322267</v>
      </c>
      <c r="P315" s="2">
        <v>481480</v>
      </c>
      <c r="Q315" s="2">
        <v>142155</v>
      </c>
    </row>
    <row r="316" spans="1:17" x14ac:dyDescent="0.25">
      <c r="A316" t="s">
        <v>1224</v>
      </c>
      <c r="B316" t="s">
        <v>1225</v>
      </c>
      <c r="C316" s="1">
        <v>41275</v>
      </c>
      <c r="D316" s="1">
        <v>41639</v>
      </c>
      <c r="E316" t="s">
        <v>1226</v>
      </c>
      <c r="G316" t="s">
        <v>77</v>
      </c>
      <c r="H316" t="s">
        <v>78</v>
      </c>
      <c r="I316" t="str">
        <f>"40205"</f>
        <v>40205</v>
      </c>
      <c r="J316" t="s">
        <v>22</v>
      </c>
      <c r="K316" t="s">
        <v>23</v>
      </c>
      <c r="L316" s="2">
        <v>25202267</v>
      </c>
      <c r="M316" s="2">
        <v>20234798</v>
      </c>
      <c r="N316" s="2">
        <v>0</v>
      </c>
      <c r="O316" s="2">
        <v>106311</v>
      </c>
      <c r="P316" t="s">
        <v>24</v>
      </c>
      <c r="Q316" t="s">
        <v>24</v>
      </c>
    </row>
    <row r="317" spans="1:17" x14ac:dyDescent="0.25">
      <c r="A317" t="s">
        <v>6199</v>
      </c>
      <c r="B317" t="s">
        <v>6200</v>
      </c>
      <c r="C317" s="1">
        <v>41275</v>
      </c>
      <c r="D317" s="1">
        <v>41639</v>
      </c>
      <c r="E317" t="s">
        <v>104</v>
      </c>
      <c r="G317" t="s">
        <v>28</v>
      </c>
      <c r="H317" t="s">
        <v>29</v>
      </c>
      <c r="I317" t="str">
        <f>"60680"</f>
        <v>60680</v>
      </c>
      <c r="J317" t="s">
        <v>22</v>
      </c>
      <c r="K317" t="s">
        <v>23</v>
      </c>
      <c r="L317" s="2">
        <v>25175343</v>
      </c>
      <c r="M317" s="2">
        <v>23404585</v>
      </c>
      <c r="N317" s="2">
        <v>0</v>
      </c>
      <c r="O317" s="2">
        <v>249389</v>
      </c>
      <c r="P317" t="s">
        <v>24</v>
      </c>
      <c r="Q317" t="s">
        <v>24</v>
      </c>
    </row>
    <row r="318" spans="1:17" x14ac:dyDescent="0.25">
      <c r="A318" t="s">
        <v>500</v>
      </c>
      <c r="B318" t="s">
        <v>501</v>
      </c>
      <c r="C318" s="1">
        <v>41275</v>
      </c>
      <c r="D318" s="1">
        <v>41639</v>
      </c>
      <c r="E318" t="s">
        <v>502</v>
      </c>
      <c r="G318" t="s">
        <v>503</v>
      </c>
      <c r="H318" t="s">
        <v>21</v>
      </c>
      <c r="I318" t="str">
        <f>"46135"</f>
        <v>46135</v>
      </c>
      <c r="J318" t="s">
        <v>63</v>
      </c>
      <c r="K318" t="s">
        <v>64</v>
      </c>
      <c r="L318" s="2">
        <v>24798640</v>
      </c>
      <c r="M318" s="2">
        <v>2060841</v>
      </c>
      <c r="N318" s="2">
        <v>4148630</v>
      </c>
      <c r="O318" s="2">
        <v>1248793</v>
      </c>
      <c r="P318" s="2">
        <v>227563</v>
      </c>
      <c r="Q318" s="2">
        <v>85448</v>
      </c>
    </row>
    <row r="319" spans="1:17" x14ac:dyDescent="0.25">
      <c r="A319" t="s">
        <v>3838</v>
      </c>
      <c r="B319" t="s">
        <v>3839</v>
      </c>
      <c r="C319" s="1">
        <v>41275</v>
      </c>
      <c r="D319" s="1">
        <v>41639</v>
      </c>
      <c r="E319" t="s">
        <v>3840</v>
      </c>
      <c r="G319" t="s">
        <v>741</v>
      </c>
      <c r="H319" t="s">
        <v>42</v>
      </c>
      <c r="I319" t="str">
        <f>"54307"</f>
        <v>54307</v>
      </c>
      <c r="J319" t="s">
        <v>22</v>
      </c>
      <c r="K319" t="s">
        <v>91</v>
      </c>
      <c r="L319" s="2">
        <v>24795714</v>
      </c>
      <c r="M319" s="2">
        <v>1819111</v>
      </c>
      <c r="N319" s="2">
        <v>508284</v>
      </c>
      <c r="O319" s="2">
        <v>1201733</v>
      </c>
      <c r="P319" t="s">
        <v>24</v>
      </c>
      <c r="Q319" t="s">
        <v>24</v>
      </c>
    </row>
    <row r="320" spans="1:17" x14ac:dyDescent="0.25">
      <c r="A320" t="s">
        <v>3035</v>
      </c>
      <c r="B320" t="s">
        <v>3036</v>
      </c>
      <c r="C320" s="1">
        <v>41275</v>
      </c>
      <c r="D320" s="1">
        <v>41639</v>
      </c>
      <c r="E320" t="s">
        <v>3037</v>
      </c>
      <c r="F320" t="s">
        <v>3038</v>
      </c>
      <c r="G320" t="s">
        <v>3039</v>
      </c>
      <c r="H320" t="s">
        <v>62</v>
      </c>
      <c r="I320" t="str">
        <f>"45365"</f>
        <v>45365</v>
      </c>
      <c r="J320" t="s">
        <v>63</v>
      </c>
      <c r="K320" t="s">
        <v>64</v>
      </c>
      <c r="L320" s="2">
        <v>24704857</v>
      </c>
      <c r="M320" s="2">
        <v>2810831</v>
      </c>
      <c r="N320" s="2">
        <v>6599307</v>
      </c>
      <c r="O320" s="2">
        <v>1108003</v>
      </c>
      <c r="P320" s="2">
        <v>88305</v>
      </c>
      <c r="Q320" s="2">
        <v>38325</v>
      </c>
    </row>
    <row r="321" spans="1:17" x14ac:dyDescent="0.25">
      <c r="A321" t="s">
        <v>4963</v>
      </c>
      <c r="B321" t="s">
        <v>4964</v>
      </c>
      <c r="C321" s="1">
        <v>41275</v>
      </c>
      <c r="D321" s="1">
        <v>41639</v>
      </c>
      <c r="E321" t="s">
        <v>50</v>
      </c>
      <c r="G321" t="s">
        <v>28</v>
      </c>
      <c r="H321" t="s">
        <v>29</v>
      </c>
      <c r="I321" t="str">
        <f>"60603"</f>
        <v>60603</v>
      </c>
      <c r="J321" t="s">
        <v>752</v>
      </c>
      <c r="K321" t="s">
        <v>753</v>
      </c>
      <c r="L321" s="2">
        <v>24596970</v>
      </c>
      <c r="M321" s="2">
        <v>8384002</v>
      </c>
      <c r="N321" s="2">
        <v>0</v>
      </c>
      <c r="O321" s="2">
        <v>912501</v>
      </c>
      <c r="P321" t="s">
        <v>24</v>
      </c>
      <c r="Q321" t="s">
        <v>24</v>
      </c>
    </row>
    <row r="322" spans="1:17" x14ac:dyDescent="0.25">
      <c r="A322" t="s">
        <v>3969</v>
      </c>
      <c r="B322" t="s">
        <v>3970</v>
      </c>
      <c r="C322" s="1">
        <v>41091</v>
      </c>
      <c r="D322" s="1">
        <v>41455</v>
      </c>
      <c r="E322" t="s">
        <v>3971</v>
      </c>
      <c r="G322" t="s">
        <v>3972</v>
      </c>
      <c r="H322" t="s">
        <v>62</v>
      </c>
      <c r="I322" t="str">
        <f>"44805"</f>
        <v>44805</v>
      </c>
      <c r="J322" t="s">
        <v>63</v>
      </c>
      <c r="K322" t="s">
        <v>64</v>
      </c>
      <c r="L322" s="2">
        <v>24587841</v>
      </c>
      <c r="M322" s="2">
        <v>5753511</v>
      </c>
      <c r="N322" s="2">
        <v>3320689</v>
      </c>
      <c r="O322" s="2">
        <v>853048</v>
      </c>
      <c r="P322" s="2">
        <v>287903</v>
      </c>
      <c r="Q322" s="2">
        <v>38599</v>
      </c>
    </row>
    <row r="323" spans="1:17" x14ac:dyDescent="0.25">
      <c r="A323" t="s">
        <v>5491</v>
      </c>
      <c r="B323" t="s">
        <v>5492</v>
      </c>
      <c r="C323" s="1">
        <v>41275</v>
      </c>
      <c r="D323" s="1">
        <v>41639</v>
      </c>
      <c r="E323" t="s">
        <v>5493</v>
      </c>
      <c r="G323" t="s">
        <v>46</v>
      </c>
      <c r="H323" t="s">
        <v>47</v>
      </c>
      <c r="I323" t="str">
        <f>"49016"</f>
        <v>49016</v>
      </c>
      <c r="J323" t="s">
        <v>22</v>
      </c>
      <c r="K323" t="s">
        <v>23</v>
      </c>
      <c r="L323" s="2">
        <v>24344057</v>
      </c>
      <c r="M323" s="2">
        <v>10351487</v>
      </c>
      <c r="N323" s="2">
        <v>150000</v>
      </c>
      <c r="O323" s="2">
        <v>8848261</v>
      </c>
      <c r="P323" t="s">
        <v>24</v>
      </c>
      <c r="Q323" t="s">
        <v>24</v>
      </c>
    </row>
    <row r="324" spans="1:17" x14ac:dyDescent="0.25">
      <c r="A324" t="s">
        <v>1746</v>
      </c>
      <c r="B324" t="s">
        <v>1747</v>
      </c>
      <c r="C324" s="1">
        <v>41275</v>
      </c>
      <c r="D324" s="1">
        <v>41639</v>
      </c>
      <c r="E324" t="s">
        <v>1748</v>
      </c>
      <c r="F324" t="s">
        <v>1749</v>
      </c>
      <c r="G324" t="s">
        <v>1750</v>
      </c>
      <c r="H324" t="s">
        <v>47</v>
      </c>
      <c r="I324" t="str">
        <f>"49829"</f>
        <v>49829</v>
      </c>
      <c r="J324" t="s">
        <v>63</v>
      </c>
      <c r="K324" t="s">
        <v>64</v>
      </c>
      <c r="L324" s="2">
        <v>24095065</v>
      </c>
      <c r="M324" s="2">
        <v>2611565</v>
      </c>
      <c r="N324" s="2">
        <v>2107148</v>
      </c>
      <c r="O324" s="2">
        <v>3026871</v>
      </c>
      <c r="P324" s="2">
        <v>316478</v>
      </c>
      <c r="Q324" s="2">
        <v>74780</v>
      </c>
    </row>
    <row r="325" spans="1:17" x14ac:dyDescent="0.25">
      <c r="A325" t="s">
        <v>7634</v>
      </c>
      <c r="B325" t="s">
        <v>7635</v>
      </c>
      <c r="C325" s="1">
        <v>41183</v>
      </c>
      <c r="D325" s="1">
        <v>41547</v>
      </c>
      <c r="E325" t="s">
        <v>6099</v>
      </c>
      <c r="G325" t="s">
        <v>28</v>
      </c>
      <c r="H325" t="s">
        <v>29</v>
      </c>
      <c r="I325" t="str">
        <f>"60601"</f>
        <v>60601</v>
      </c>
      <c r="J325" t="s">
        <v>63</v>
      </c>
      <c r="K325" t="s">
        <v>91</v>
      </c>
      <c r="L325" s="2">
        <v>23954889</v>
      </c>
      <c r="M325" s="2">
        <v>9762958</v>
      </c>
      <c r="N325" s="2">
        <v>716924</v>
      </c>
      <c r="O325" s="2">
        <v>802420</v>
      </c>
      <c r="P325" s="2">
        <v>7807</v>
      </c>
      <c r="Q325" t="s">
        <v>24</v>
      </c>
    </row>
    <row r="326" spans="1:17" x14ac:dyDescent="0.25">
      <c r="A326" t="s">
        <v>6064</v>
      </c>
      <c r="B326" t="s">
        <v>6065</v>
      </c>
      <c r="C326" s="1">
        <v>41275</v>
      </c>
      <c r="D326" s="1">
        <v>41639</v>
      </c>
      <c r="E326" t="s">
        <v>6066</v>
      </c>
      <c r="G326" t="s">
        <v>517</v>
      </c>
      <c r="H326" t="s">
        <v>62</v>
      </c>
      <c r="I326" t="str">
        <f>"45410"</f>
        <v>45410</v>
      </c>
      <c r="J326" t="s">
        <v>752</v>
      </c>
      <c r="K326" t="s">
        <v>753</v>
      </c>
      <c r="L326" s="2">
        <v>23686093</v>
      </c>
      <c r="M326" s="2">
        <v>4176638</v>
      </c>
      <c r="N326" s="2">
        <v>233449</v>
      </c>
      <c r="O326" s="2">
        <v>4454761</v>
      </c>
      <c r="P326" t="s">
        <v>24</v>
      </c>
      <c r="Q326" t="s">
        <v>24</v>
      </c>
    </row>
    <row r="327" spans="1:17" x14ac:dyDescent="0.25">
      <c r="A327" t="s">
        <v>4875</v>
      </c>
      <c r="B327" t="s">
        <v>4876</v>
      </c>
      <c r="C327" s="1">
        <v>40909</v>
      </c>
      <c r="D327" s="1">
        <v>41274</v>
      </c>
      <c r="E327" t="s">
        <v>4877</v>
      </c>
      <c r="F327" t="s">
        <v>4878</v>
      </c>
      <c r="G327" t="s">
        <v>28</v>
      </c>
      <c r="H327" t="s">
        <v>29</v>
      </c>
      <c r="I327" t="str">
        <f>"60606"</f>
        <v>60606</v>
      </c>
      <c r="J327" t="s">
        <v>22</v>
      </c>
      <c r="K327" t="s">
        <v>79</v>
      </c>
      <c r="L327" s="2">
        <v>23606262</v>
      </c>
      <c r="M327" s="2">
        <v>12051600</v>
      </c>
      <c r="N327" s="2">
        <v>0</v>
      </c>
      <c r="O327" s="2">
        <v>3434810</v>
      </c>
      <c r="P327" t="s">
        <v>24</v>
      </c>
      <c r="Q327" t="s">
        <v>24</v>
      </c>
    </row>
    <row r="328" spans="1:17" x14ac:dyDescent="0.25">
      <c r="A328" t="s">
        <v>3123</v>
      </c>
      <c r="B328" t="s">
        <v>3124</v>
      </c>
      <c r="C328" s="1">
        <v>41275</v>
      </c>
      <c r="D328" s="1">
        <v>41639</v>
      </c>
      <c r="E328" t="s">
        <v>3125</v>
      </c>
      <c r="G328" t="s">
        <v>3126</v>
      </c>
      <c r="H328" t="s">
        <v>47</v>
      </c>
      <c r="I328" t="str">
        <f>"49079"</f>
        <v>49079</v>
      </c>
      <c r="J328" t="s">
        <v>22</v>
      </c>
      <c r="K328" t="s">
        <v>30</v>
      </c>
      <c r="L328" s="2">
        <v>23495500</v>
      </c>
      <c r="M328" s="2">
        <v>17862347</v>
      </c>
      <c r="N328" s="2">
        <v>0</v>
      </c>
      <c r="O328" s="2">
        <v>1254131</v>
      </c>
      <c r="P328" t="s">
        <v>24</v>
      </c>
      <c r="Q328" t="s">
        <v>24</v>
      </c>
    </row>
    <row r="329" spans="1:17" x14ac:dyDescent="0.25">
      <c r="A329" t="s">
        <v>634</v>
      </c>
      <c r="B329" t="s">
        <v>635</v>
      </c>
      <c r="C329" s="1">
        <v>41275</v>
      </c>
      <c r="D329" s="1">
        <v>41639</v>
      </c>
      <c r="E329" t="s">
        <v>636</v>
      </c>
      <c r="G329" t="s">
        <v>237</v>
      </c>
      <c r="H329" t="s">
        <v>42</v>
      </c>
      <c r="I329" t="str">
        <f>"54601"</f>
        <v>54601</v>
      </c>
      <c r="J329" t="s">
        <v>63</v>
      </c>
      <c r="K329" t="s">
        <v>79</v>
      </c>
      <c r="L329" s="2">
        <v>23465834</v>
      </c>
      <c r="M329" s="2">
        <v>1751362</v>
      </c>
      <c r="N329" s="2">
        <v>0</v>
      </c>
      <c r="O329" s="2">
        <v>1500764</v>
      </c>
      <c r="P329" s="2">
        <v>400565</v>
      </c>
      <c r="Q329" s="2">
        <v>0</v>
      </c>
    </row>
    <row r="330" spans="1:17" x14ac:dyDescent="0.25">
      <c r="A330" t="s">
        <v>6148</v>
      </c>
      <c r="B330" t="s">
        <v>6149</v>
      </c>
      <c r="C330" s="1">
        <v>41365</v>
      </c>
      <c r="D330" s="1">
        <v>41729</v>
      </c>
      <c r="E330" t="s">
        <v>6150</v>
      </c>
      <c r="G330" t="s">
        <v>6151</v>
      </c>
      <c r="H330" t="s">
        <v>47</v>
      </c>
      <c r="I330" t="str">
        <f>"49091"</f>
        <v>49091</v>
      </c>
      <c r="J330" t="s">
        <v>63</v>
      </c>
      <c r="K330" t="s">
        <v>64</v>
      </c>
      <c r="L330" s="2">
        <v>23368984</v>
      </c>
      <c r="M330" s="2">
        <v>2518439</v>
      </c>
      <c r="N330" s="2">
        <v>78966</v>
      </c>
      <c r="O330" s="2">
        <v>1143603</v>
      </c>
      <c r="P330" s="2">
        <v>229803</v>
      </c>
      <c r="Q330" s="2">
        <v>47671</v>
      </c>
    </row>
    <row r="331" spans="1:17" x14ac:dyDescent="0.25">
      <c r="A331" t="s">
        <v>711</v>
      </c>
      <c r="B331" t="s">
        <v>712</v>
      </c>
      <c r="C331" s="1">
        <v>41275</v>
      </c>
      <c r="D331" s="1">
        <v>41639</v>
      </c>
      <c r="E331" t="s">
        <v>713</v>
      </c>
      <c r="G331" t="s">
        <v>77</v>
      </c>
      <c r="H331" t="s">
        <v>78</v>
      </c>
      <c r="I331" t="str">
        <f>"40257"</f>
        <v>40257</v>
      </c>
      <c r="J331" t="s">
        <v>22</v>
      </c>
      <c r="K331" t="s">
        <v>23</v>
      </c>
      <c r="L331" s="2">
        <v>23273379</v>
      </c>
      <c r="M331" s="2">
        <v>1234758</v>
      </c>
      <c r="N331" s="2">
        <v>0</v>
      </c>
      <c r="O331" s="2">
        <v>1099719</v>
      </c>
      <c r="P331" t="s">
        <v>24</v>
      </c>
      <c r="Q331" t="s">
        <v>24</v>
      </c>
    </row>
    <row r="332" spans="1:17" x14ac:dyDescent="0.25">
      <c r="A332" t="s">
        <v>6911</v>
      </c>
      <c r="B332" t="s">
        <v>6912</v>
      </c>
      <c r="C332" s="1">
        <v>41327</v>
      </c>
      <c r="D332" s="1">
        <v>41578</v>
      </c>
      <c r="E332" t="s">
        <v>6913</v>
      </c>
      <c r="G332" t="s">
        <v>6914</v>
      </c>
      <c r="H332" t="s">
        <v>21</v>
      </c>
      <c r="I332" t="str">
        <f>"47429"</f>
        <v>47429</v>
      </c>
      <c r="J332" t="s">
        <v>22</v>
      </c>
      <c r="K332" t="s">
        <v>23</v>
      </c>
      <c r="L332" s="2">
        <v>23244540</v>
      </c>
      <c r="M332" s="2">
        <v>3027073</v>
      </c>
      <c r="N332" s="2">
        <v>0</v>
      </c>
      <c r="O332" s="2">
        <v>1052643</v>
      </c>
      <c r="P332" t="s">
        <v>24</v>
      </c>
      <c r="Q332" t="s">
        <v>24</v>
      </c>
    </row>
    <row r="333" spans="1:17" x14ac:dyDescent="0.25">
      <c r="A333" t="s">
        <v>5859</v>
      </c>
      <c r="B333" t="s">
        <v>5860</v>
      </c>
      <c r="C333" s="1">
        <v>41275</v>
      </c>
      <c r="D333" s="1">
        <v>41639</v>
      </c>
      <c r="E333" t="s">
        <v>50</v>
      </c>
      <c r="G333" t="s">
        <v>28</v>
      </c>
      <c r="H333" t="s">
        <v>29</v>
      </c>
      <c r="I333" t="str">
        <f>"60603"</f>
        <v>60603</v>
      </c>
      <c r="J333" t="s">
        <v>22</v>
      </c>
      <c r="K333" t="s">
        <v>23</v>
      </c>
      <c r="L333" s="2">
        <v>23138919</v>
      </c>
      <c r="M333" s="2">
        <v>5256196</v>
      </c>
      <c r="N333" s="2">
        <v>0</v>
      </c>
      <c r="O333" s="2">
        <v>955924</v>
      </c>
      <c r="P333" t="s">
        <v>24</v>
      </c>
      <c r="Q333" t="s">
        <v>24</v>
      </c>
    </row>
    <row r="334" spans="1:17" x14ac:dyDescent="0.25">
      <c r="A334" t="s">
        <v>6088</v>
      </c>
      <c r="B334" t="s">
        <v>6089</v>
      </c>
      <c r="C334" s="1">
        <v>41275</v>
      </c>
      <c r="D334" s="1">
        <v>41639</v>
      </c>
      <c r="E334" t="s">
        <v>6090</v>
      </c>
      <c r="G334" t="s">
        <v>2223</v>
      </c>
      <c r="H334" t="s">
        <v>47</v>
      </c>
      <c r="I334" t="str">
        <f>"48335"</f>
        <v>48335</v>
      </c>
      <c r="J334" t="s">
        <v>22</v>
      </c>
      <c r="K334" t="s">
        <v>30</v>
      </c>
      <c r="L334" s="2">
        <v>23008050</v>
      </c>
      <c r="M334" s="2">
        <v>7805652</v>
      </c>
      <c r="N334" s="2">
        <v>25267</v>
      </c>
      <c r="O334" s="2">
        <v>494839</v>
      </c>
      <c r="P334" t="s">
        <v>24</v>
      </c>
      <c r="Q334" t="s">
        <v>24</v>
      </c>
    </row>
    <row r="335" spans="1:17" x14ac:dyDescent="0.25">
      <c r="A335" t="s">
        <v>5747</v>
      </c>
      <c r="B335" t="s">
        <v>5748</v>
      </c>
      <c r="C335" s="1">
        <v>41275</v>
      </c>
      <c r="D335" s="1">
        <v>41639</v>
      </c>
      <c r="E335" t="s">
        <v>2898</v>
      </c>
      <c r="G335" t="s">
        <v>28</v>
      </c>
      <c r="H335" t="s">
        <v>29</v>
      </c>
      <c r="I335" t="str">
        <f>"60603"</f>
        <v>60603</v>
      </c>
      <c r="J335" t="s">
        <v>22</v>
      </c>
      <c r="K335" t="s">
        <v>23</v>
      </c>
      <c r="L335" s="2">
        <v>22972930</v>
      </c>
      <c r="M335" s="2">
        <v>18608916</v>
      </c>
      <c r="N335" s="2">
        <v>0</v>
      </c>
      <c r="O335" s="2">
        <v>4171158</v>
      </c>
      <c r="P335" t="s">
        <v>24</v>
      </c>
      <c r="Q335" t="s">
        <v>24</v>
      </c>
    </row>
    <row r="336" spans="1:17" x14ac:dyDescent="0.25">
      <c r="A336" t="s">
        <v>7072</v>
      </c>
      <c r="B336" t="s">
        <v>7073</v>
      </c>
      <c r="C336" s="1">
        <v>41275</v>
      </c>
      <c r="D336" s="1">
        <v>41639</v>
      </c>
      <c r="E336" t="s">
        <v>7074</v>
      </c>
      <c r="G336" t="s">
        <v>1352</v>
      </c>
      <c r="H336" t="s">
        <v>21</v>
      </c>
      <c r="I336" t="str">
        <f>"47151"</f>
        <v>47151</v>
      </c>
      <c r="J336" t="s">
        <v>22</v>
      </c>
      <c r="K336" t="s">
        <v>23</v>
      </c>
      <c r="L336" s="2">
        <v>22889236</v>
      </c>
      <c r="M336" s="2">
        <v>1918165</v>
      </c>
      <c r="N336" s="2">
        <v>0</v>
      </c>
      <c r="O336" s="2">
        <v>166611</v>
      </c>
      <c r="P336" t="s">
        <v>24</v>
      </c>
      <c r="Q336" t="s">
        <v>24</v>
      </c>
    </row>
    <row r="337" spans="1:17" x14ac:dyDescent="0.25">
      <c r="A337" t="s">
        <v>3484</v>
      </c>
      <c r="B337" t="s">
        <v>3485</v>
      </c>
      <c r="C337" s="1">
        <v>41275</v>
      </c>
      <c r="D337" s="1">
        <v>41639</v>
      </c>
      <c r="E337" t="s">
        <v>3486</v>
      </c>
      <c r="G337" t="s">
        <v>1965</v>
      </c>
      <c r="H337" t="s">
        <v>47</v>
      </c>
      <c r="I337" t="str">
        <f>"48170"</f>
        <v>48170</v>
      </c>
      <c r="J337" t="s">
        <v>22</v>
      </c>
      <c r="K337" t="s">
        <v>30</v>
      </c>
      <c r="L337" s="2">
        <v>22813842</v>
      </c>
      <c r="M337" s="2">
        <v>22813842</v>
      </c>
      <c r="N337" s="2">
        <v>0</v>
      </c>
      <c r="O337" s="2">
        <v>0</v>
      </c>
      <c r="P337" t="s">
        <v>24</v>
      </c>
      <c r="Q337" t="s">
        <v>24</v>
      </c>
    </row>
    <row r="338" spans="1:17" x14ac:dyDescent="0.25">
      <c r="A338" t="s">
        <v>2732</v>
      </c>
      <c r="B338" t="s">
        <v>2733</v>
      </c>
      <c r="C338" s="1">
        <v>41275</v>
      </c>
      <c r="D338" s="1">
        <v>41639</v>
      </c>
      <c r="E338" t="s">
        <v>2734</v>
      </c>
      <c r="G338" t="s">
        <v>401</v>
      </c>
      <c r="H338" t="s">
        <v>47</v>
      </c>
      <c r="I338" t="str">
        <f>"48674"</f>
        <v>48674</v>
      </c>
      <c r="J338" t="s">
        <v>22</v>
      </c>
      <c r="K338" t="s">
        <v>23</v>
      </c>
      <c r="L338" s="2">
        <v>22714039</v>
      </c>
      <c r="M338" s="2">
        <v>30000464</v>
      </c>
      <c r="N338" s="2">
        <v>3459188</v>
      </c>
      <c r="O338" s="2">
        <v>21514357</v>
      </c>
      <c r="P338" t="s">
        <v>24</v>
      </c>
      <c r="Q338" t="s">
        <v>24</v>
      </c>
    </row>
    <row r="339" spans="1:17" x14ac:dyDescent="0.25">
      <c r="A339" t="s">
        <v>7255</v>
      </c>
      <c r="B339" t="s">
        <v>7256</v>
      </c>
      <c r="C339" s="1">
        <v>41456</v>
      </c>
      <c r="D339" s="1">
        <v>41820</v>
      </c>
      <c r="E339" t="s">
        <v>7257</v>
      </c>
      <c r="G339" t="s">
        <v>7258</v>
      </c>
      <c r="H339" t="s">
        <v>62</v>
      </c>
      <c r="I339" t="str">
        <f>"43506"</f>
        <v>43506</v>
      </c>
      <c r="J339" t="s">
        <v>63</v>
      </c>
      <c r="K339" t="s">
        <v>64</v>
      </c>
      <c r="L339" s="2">
        <v>22555482</v>
      </c>
      <c r="M339" s="2">
        <v>903660</v>
      </c>
      <c r="N339" s="2">
        <v>186480</v>
      </c>
      <c r="O339" s="2">
        <v>702560</v>
      </c>
      <c r="P339" s="2">
        <v>138029</v>
      </c>
      <c r="Q339" s="2">
        <v>112621</v>
      </c>
    </row>
    <row r="340" spans="1:17" x14ac:dyDescent="0.25">
      <c r="A340" t="s">
        <v>3996</v>
      </c>
      <c r="B340" t="s">
        <v>3997</v>
      </c>
      <c r="C340" s="1">
        <v>41091</v>
      </c>
      <c r="D340" s="1">
        <v>41455</v>
      </c>
      <c r="E340" t="s">
        <v>3998</v>
      </c>
      <c r="G340" t="s">
        <v>833</v>
      </c>
      <c r="H340" t="s">
        <v>21</v>
      </c>
      <c r="I340" t="str">
        <f>"47404"</f>
        <v>47404</v>
      </c>
      <c r="J340" t="s">
        <v>63</v>
      </c>
      <c r="K340" t="s">
        <v>64</v>
      </c>
      <c r="L340" s="2">
        <v>22062280</v>
      </c>
      <c r="M340" s="2">
        <v>1526428</v>
      </c>
      <c r="N340" s="2">
        <v>2181111</v>
      </c>
      <c r="O340" s="2">
        <v>1188927</v>
      </c>
      <c r="P340" s="2">
        <v>114308</v>
      </c>
      <c r="Q340" s="2">
        <v>178872</v>
      </c>
    </row>
    <row r="341" spans="1:17" x14ac:dyDescent="0.25">
      <c r="A341" t="s">
        <v>7487</v>
      </c>
      <c r="B341" t="s">
        <v>7488</v>
      </c>
      <c r="C341" s="1">
        <v>41275</v>
      </c>
      <c r="D341" s="1">
        <v>41639</v>
      </c>
      <c r="E341" t="s">
        <v>7489</v>
      </c>
      <c r="G341" t="s">
        <v>28</v>
      </c>
      <c r="H341" t="s">
        <v>29</v>
      </c>
      <c r="I341" t="str">
        <f>"60638"</f>
        <v>60638</v>
      </c>
      <c r="J341" t="s">
        <v>22</v>
      </c>
      <c r="K341" t="s">
        <v>23</v>
      </c>
      <c r="L341" s="2">
        <v>21980633</v>
      </c>
      <c r="M341" s="2">
        <v>7374283</v>
      </c>
      <c r="N341" s="2">
        <v>69433</v>
      </c>
      <c r="O341" s="2">
        <v>1085736</v>
      </c>
      <c r="P341" t="s">
        <v>24</v>
      </c>
      <c r="Q341" t="s">
        <v>24</v>
      </c>
    </row>
    <row r="342" spans="1:17" x14ac:dyDescent="0.25">
      <c r="A342" t="s">
        <v>4173</v>
      </c>
      <c r="B342" t="s">
        <v>4174</v>
      </c>
      <c r="C342" s="1">
        <v>41275</v>
      </c>
      <c r="D342" s="1">
        <v>41639</v>
      </c>
      <c r="E342" t="s">
        <v>4175</v>
      </c>
      <c r="F342" t="s">
        <v>4176</v>
      </c>
      <c r="G342" t="s">
        <v>479</v>
      </c>
      <c r="H342" t="s">
        <v>47</v>
      </c>
      <c r="I342" t="str">
        <f>"49201"</f>
        <v>49201</v>
      </c>
      <c r="J342" t="s">
        <v>63</v>
      </c>
      <c r="K342" t="s">
        <v>64</v>
      </c>
      <c r="L342" s="2">
        <v>21723911</v>
      </c>
      <c r="M342" s="2">
        <v>1845465</v>
      </c>
      <c r="N342" s="2">
        <v>47922</v>
      </c>
      <c r="O342" s="2">
        <v>1295890</v>
      </c>
      <c r="P342" s="2">
        <v>207519</v>
      </c>
      <c r="Q342" s="2">
        <v>52470</v>
      </c>
    </row>
    <row r="343" spans="1:17" x14ac:dyDescent="0.25">
      <c r="A343" t="s">
        <v>6616</v>
      </c>
      <c r="B343" t="s">
        <v>6617</v>
      </c>
      <c r="C343" s="1">
        <v>41091</v>
      </c>
      <c r="D343" s="1">
        <v>41455</v>
      </c>
      <c r="E343" t="s">
        <v>6618</v>
      </c>
      <c r="G343" t="s">
        <v>143</v>
      </c>
      <c r="H343" t="s">
        <v>47</v>
      </c>
      <c r="I343" t="str">
        <f>"48236"</f>
        <v>48236</v>
      </c>
      <c r="J343" t="s">
        <v>63</v>
      </c>
      <c r="K343" t="s">
        <v>91</v>
      </c>
      <c r="L343" s="2">
        <v>21690847</v>
      </c>
      <c r="M343" s="2">
        <v>3151482</v>
      </c>
      <c r="N343" s="2">
        <v>483127</v>
      </c>
      <c r="O343" s="2">
        <v>2649071</v>
      </c>
      <c r="P343" s="2">
        <v>24033</v>
      </c>
      <c r="Q343" s="2">
        <v>1306631</v>
      </c>
    </row>
    <row r="344" spans="1:17" x14ac:dyDescent="0.25">
      <c r="A344" t="s">
        <v>31</v>
      </c>
      <c r="B344" t="s">
        <v>32</v>
      </c>
      <c r="C344" s="1">
        <v>41487</v>
      </c>
      <c r="D344" s="1">
        <v>41851</v>
      </c>
      <c r="E344" t="s">
        <v>33</v>
      </c>
      <c r="G344" t="s">
        <v>34</v>
      </c>
      <c r="H344" t="s">
        <v>29</v>
      </c>
      <c r="I344" t="str">
        <f>"60305"</f>
        <v>60305</v>
      </c>
      <c r="J344" t="s">
        <v>22</v>
      </c>
      <c r="K344" t="s">
        <v>23</v>
      </c>
      <c r="L344" s="2">
        <v>21627158</v>
      </c>
      <c r="M344" s="2">
        <v>20084922</v>
      </c>
      <c r="N344" s="2">
        <v>0</v>
      </c>
      <c r="O344" s="2">
        <v>631713</v>
      </c>
      <c r="P344" t="s">
        <v>24</v>
      </c>
      <c r="Q344" t="s">
        <v>24</v>
      </c>
    </row>
    <row r="345" spans="1:17" x14ac:dyDescent="0.25">
      <c r="A345" t="s">
        <v>3841</v>
      </c>
      <c r="B345" t="s">
        <v>3842</v>
      </c>
      <c r="C345" s="1">
        <v>41091</v>
      </c>
      <c r="D345" s="1">
        <v>41455</v>
      </c>
      <c r="E345" t="s">
        <v>3843</v>
      </c>
      <c r="G345" t="s">
        <v>3844</v>
      </c>
      <c r="H345" t="s">
        <v>42</v>
      </c>
      <c r="I345" t="str">
        <f>"53538"</f>
        <v>53538</v>
      </c>
      <c r="J345" t="s">
        <v>63</v>
      </c>
      <c r="K345" t="s">
        <v>64</v>
      </c>
      <c r="L345" s="2">
        <v>21583830</v>
      </c>
      <c r="M345" s="2">
        <v>2163743</v>
      </c>
      <c r="N345" s="2">
        <v>837476</v>
      </c>
      <c r="O345" s="2">
        <v>696119</v>
      </c>
      <c r="P345" s="2">
        <v>138839</v>
      </c>
      <c r="Q345" s="2">
        <v>0</v>
      </c>
    </row>
    <row r="346" spans="1:17" x14ac:dyDescent="0.25">
      <c r="A346" t="s">
        <v>6426</v>
      </c>
      <c r="B346" t="s">
        <v>6427</v>
      </c>
      <c r="C346" s="1">
        <v>41275</v>
      </c>
      <c r="D346" s="1">
        <v>41639</v>
      </c>
      <c r="E346" t="s">
        <v>6428</v>
      </c>
      <c r="G346" t="s">
        <v>6429</v>
      </c>
      <c r="H346" t="s">
        <v>21</v>
      </c>
      <c r="I346" t="str">
        <f>"46308"</f>
        <v>46308</v>
      </c>
      <c r="J346" t="s">
        <v>63</v>
      </c>
      <c r="K346" t="s">
        <v>64</v>
      </c>
      <c r="L346" s="2">
        <v>21548175</v>
      </c>
      <c r="M346" s="2">
        <v>2761465</v>
      </c>
      <c r="N346" s="2">
        <v>2198768</v>
      </c>
      <c r="O346" s="2">
        <v>985735</v>
      </c>
      <c r="P346" s="2">
        <v>155803</v>
      </c>
      <c r="Q346" s="2">
        <v>110186</v>
      </c>
    </row>
    <row r="347" spans="1:17" x14ac:dyDescent="0.25">
      <c r="A347" t="s">
        <v>6280</v>
      </c>
      <c r="B347" t="s">
        <v>6281</v>
      </c>
      <c r="C347" s="1">
        <v>41456</v>
      </c>
      <c r="D347" s="1">
        <v>41820</v>
      </c>
      <c r="E347" t="s">
        <v>6282</v>
      </c>
      <c r="G347" t="s">
        <v>6283</v>
      </c>
      <c r="H347" t="s">
        <v>21</v>
      </c>
      <c r="I347" t="str">
        <f>"46703"</f>
        <v>46703</v>
      </c>
      <c r="J347" t="s">
        <v>63</v>
      </c>
      <c r="K347" t="s">
        <v>64</v>
      </c>
      <c r="L347" s="2">
        <v>21533838</v>
      </c>
      <c r="M347" s="2">
        <v>1722447</v>
      </c>
      <c r="N347" s="2">
        <v>176749</v>
      </c>
      <c r="O347" s="2">
        <v>1171908</v>
      </c>
      <c r="P347" s="2">
        <v>400675</v>
      </c>
      <c r="Q347" s="2">
        <v>51332</v>
      </c>
    </row>
    <row r="348" spans="1:17" x14ac:dyDescent="0.25">
      <c r="A348" t="s">
        <v>2524</v>
      </c>
      <c r="B348" t="s">
        <v>2525</v>
      </c>
      <c r="C348" s="1">
        <v>41275</v>
      </c>
      <c r="D348" s="1">
        <v>41639</v>
      </c>
      <c r="E348" t="s">
        <v>2526</v>
      </c>
      <c r="G348" t="s">
        <v>2527</v>
      </c>
      <c r="H348" t="s">
        <v>47</v>
      </c>
      <c r="I348" t="str">
        <f>"48072"</f>
        <v>48072</v>
      </c>
      <c r="J348" t="s">
        <v>22</v>
      </c>
      <c r="K348" t="s">
        <v>23</v>
      </c>
      <c r="L348" s="2">
        <v>21531421</v>
      </c>
      <c r="M348" s="2">
        <v>1754614</v>
      </c>
      <c r="N348" s="2">
        <v>0</v>
      </c>
      <c r="O348" s="2">
        <v>987252</v>
      </c>
      <c r="P348" t="s">
        <v>24</v>
      </c>
      <c r="Q348" t="s">
        <v>24</v>
      </c>
    </row>
    <row r="349" spans="1:17" x14ac:dyDescent="0.25">
      <c r="A349" t="s">
        <v>2479</v>
      </c>
      <c r="B349" t="s">
        <v>2480</v>
      </c>
      <c r="C349" s="1">
        <v>41275</v>
      </c>
      <c r="D349" s="1">
        <v>41639</v>
      </c>
      <c r="E349" t="s">
        <v>2481</v>
      </c>
      <c r="G349" t="s">
        <v>2482</v>
      </c>
      <c r="H349" t="s">
        <v>62</v>
      </c>
      <c r="I349" t="str">
        <f>"44251"</f>
        <v>44251</v>
      </c>
      <c r="J349" t="s">
        <v>22</v>
      </c>
      <c r="K349" t="s">
        <v>91</v>
      </c>
      <c r="L349" s="2">
        <v>21365717</v>
      </c>
      <c r="M349" s="2">
        <v>11337468</v>
      </c>
      <c r="N349" s="2">
        <v>575355</v>
      </c>
      <c r="O349" s="2">
        <v>406071</v>
      </c>
      <c r="P349" t="s">
        <v>24</v>
      </c>
      <c r="Q349" t="s">
        <v>24</v>
      </c>
    </row>
    <row r="350" spans="1:17" x14ac:dyDescent="0.25">
      <c r="A350" t="s">
        <v>4918</v>
      </c>
      <c r="B350" t="s">
        <v>4919</v>
      </c>
      <c r="C350" s="1">
        <v>41275</v>
      </c>
      <c r="D350" s="1">
        <v>41639</v>
      </c>
      <c r="E350" t="s">
        <v>4920</v>
      </c>
      <c r="G350" t="s">
        <v>4921</v>
      </c>
      <c r="H350" t="s">
        <v>21</v>
      </c>
      <c r="I350" t="str">
        <f>"46767"</f>
        <v>46767</v>
      </c>
      <c r="J350" t="s">
        <v>63</v>
      </c>
      <c r="K350" t="s">
        <v>64</v>
      </c>
      <c r="L350" s="2">
        <v>21362197</v>
      </c>
      <c r="M350" s="2">
        <v>2673702</v>
      </c>
      <c r="N350" s="2">
        <v>2165563</v>
      </c>
      <c r="O350" s="2">
        <v>1368329</v>
      </c>
      <c r="P350" s="2">
        <v>558778</v>
      </c>
      <c r="Q350" s="2">
        <v>36135</v>
      </c>
    </row>
    <row r="351" spans="1:17" x14ac:dyDescent="0.25">
      <c r="A351" t="s">
        <v>2466</v>
      </c>
      <c r="B351" t="s">
        <v>2467</v>
      </c>
      <c r="C351" s="1">
        <v>41091</v>
      </c>
      <c r="D351" s="1">
        <v>41455</v>
      </c>
      <c r="E351" t="s">
        <v>50</v>
      </c>
      <c r="G351" t="s">
        <v>28</v>
      </c>
      <c r="H351" t="s">
        <v>29</v>
      </c>
      <c r="I351" t="str">
        <f>"60603"</f>
        <v>60603</v>
      </c>
      <c r="J351" t="s">
        <v>22</v>
      </c>
      <c r="K351" t="s">
        <v>30</v>
      </c>
      <c r="L351" s="2">
        <v>21352441</v>
      </c>
      <c r="M351" s="2">
        <v>8355482</v>
      </c>
      <c r="N351" s="2">
        <v>0</v>
      </c>
      <c r="O351" s="2">
        <v>728848</v>
      </c>
      <c r="P351" t="s">
        <v>24</v>
      </c>
      <c r="Q351" t="s">
        <v>24</v>
      </c>
    </row>
    <row r="352" spans="1:17" x14ac:dyDescent="0.25">
      <c r="A352" t="s">
        <v>691</v>
      </c>
      <c r="B352" t="s">
        <v>692</v>
      </c>
      <c r="C352" s="1">
        <v>40909</v>
      </c>
      <c r="D352" s="1">
        <v>41274</v>
      </c>
      <c r="E352" t="s">
        <v>693</v>
      </c>
      <c r="G352" t="s">
        <v>547</v>
      </c>
      <c r="H352" t="s">
        <v>62</v>
      </c>
      <c r="I352" t="str">
        <f>"45662"</f>
        <v>45662</v>
      </c>
      <c r="J352" t="s">
        <v>22</v>
      </c>
      <c r="K352" t="s">
        <v>91</v>
      </c>
      <c r="L352" s="2">
        <v>21277388</v>
      </c>
      <c r="M352" s="2">
        <v>1916191</v>
      </c>
      <c r="N352" s="2">
        <v>9019602</v>
      </c>
      <c r="O352" s="2">
        <v>656677</v>
      </c>
      <c r="P352" t="s">
        <v>24</v>
      </c>
      <c r="Q352" t="s">
        <v>24</v>
      </c>
    </row>
    <row r="353" spans="1:17" x14ac:dyDescent="0.25">
      <c r="A353" t="s">
        <v>4939</v>
      </c>
      <c r="B353" t="s">
        <v>4940</v>
      </c>
      <c r="C353" s="1">
        <v>41275</v>
      </c>
      <c r="D353" s="1">
        <v>41639</v>
      </c>
      <c r="E353" t="s">
        <v>4941</v>
      </c>
      <c r="G353" t="s">
        <v>28</v>
      </c>
      <c r="H353" t="s">
        <v>29</v>
      </c>
      <c r="I353" t="str">
        <f>"60603"</f>
        <v>60603</v>
      </c>
      <c r="J353" t="s">
        <v>22</v>
      </c>
      <c r="K353" t="s">
        <v>64</v>
      </c>
      <c r="L353" s="2">
        <v>21144974</v>
      </c>
      <c r="M353" s="2">
        <v>9295733</v>
      </c>
      <c r="N353" s="2">
        <v>0</v>
      </c>
      <c r="O353" s="2">
        <v>1116415</v>
      </c>
      <c r="P353" t="s">
        <v>24</v>
      </c>
      <c r="Q353" t="s">
        <v>24</v>
      </c>
    </row>
    <row r="354" spans="1:17" x14ac:dyDescent="0.25">
      <c r="A354" t="s">
        <v>69</v>
      </c>
      <c r="B354" t="s">
        <v>70</v>
      </c>
      <c r="C354" s="1">
        <v>41548</v>
      </c>
      <c r="D354" s="1">
        <v>41912</v>
      </c>
      <c r="E354" t="s">
        <v>71</v>
      </c>
      <c r="F354" t="s">
        <v>72</v>
      </c>
      <c r="G354" t="s">
        <v>73</v>
      </c>
      <c r="H354" t="s">
        <v>47</v>
      </c>
      <c r="I354" t="str">
        <f>"49286"</f>
        <v>49286</v>
      </c>
      <c r="J354" t="s">
        <v>63</v>
      </c>
      <c r="K354" t="s">
        <v>64</v>
      </c>
      <c r="L354" s="2">
        <v>21121876</v>
      </c>
      <c r="M354" s="2">
        <v>3369848</v>
      </c>
      <c r="N354" s="2">
        <v>4656744</v>
      </c>
      <c r="O354" s="2">
        <v>1120661</v>
      </c>
      <c r="P354" s="2">
        <v>112363</v>
      </c>
      <c r="Q354" s="2">
        <v>47557</v>
      </c>
    </row>
    <row r="355" spans="1:17" x14ac:dyDescent="0.25">
      <c r="A355" t="s">
        <v>5753</v>
      </c>
      <c r="B355" t="s">
        <v>5754</v>
      </c>
      <c r="C355" s="1">
        <v>41275</v>
      </c>
      <c r="D355" s="1">
        <v>41639</v>
      </c>
      <c r="E355" t="s">
        <v>2869</v>
      </c>
      <c r="G355" t="s">
        <v>353</v>
      </c>
      <c r="H355" t="s">
        <v>62</v>
      </c>
      <c r="I355" t="str">
        <f>"43220"</f>
        <v>43220</v>
      </c>
      <c r="J355" t="s">
        <v>22</v>
      </c>
      <c r="K355" t="s">
        <v>23</v>
      </c>
      <c r="L355" s="2">
        <v>21071383</v>
      </c>
      <c r="M355" s="2">
        <v>1623381</v>
      </c>
      <c r="N355" s="2">
        <v>0</v>
      </c>
      <c r="O355" s="2">
        <v>1187350</v>
      </c>
      <c r="P355" t="s">
        <v>24</v>
      </c>
      <c r="Q355" t="s">
        <v>24</v>
      </c>
    </row>
    <row r="356" spans="1:17" x14ac:dyDescent="0.25">
      <c r="A356" t="s">
        <v>7551</v>
      </c>
      <c r="B356" t="s">
        <v>7552</v>
      </c>
      <c r="C356" s="1">
        <v>41183</v>
      </c>
      <c r="D356" s="1">
        <v>41547</v>
      </c>
      <c r="E356" t="s">
        <v>104</v>
      </c>
      <c r="G356" t="s">
        <v>28</v>
      </c>
      <c r="H356" t="s">
        <v>29</v>
      </c>
      <c r="I356" t="str">
        <f>"60680"</f>
        <v>60680</v>
      </c>
      <c r="J356" t="s">
        <v>22</v>
      </c>
      <c r="K356" t="s">
        <v>23</v>
      </c>
      <c r="L356" s="2">
        <v>20857698</v>
      </c>
      <c r="M356" s="2">
        <v>33911292</v>
      </c>
      <c r="N356" s="2">
        <v>161400</v>
      </c>
      <c r="O356" s="2">
        <v>29088666</v>
      </c>
      <c r="P356" t="s">
        <v>24</v>
      </c>
      <c r="Q356" t="s">
        <v>24</v>
      </c>
    </row>
    <row r="357" spans="1:17" x14ac:dyDescent="0.25">
      <c r="A357" t="s">
        <v>1793</v>
      </c>
      <c r="B357" t="s">
        <v>1794</v>
      </c>
      <c r="C357" s="1">
        <v>40909</v>
      </c>
      <c r="D357" s="1">
        <v>41274</v>
      </c>
      <c r="E357" t="s">
        <v>1795</v>
      </c>
      <c r="G357" t="s">
        <v>751</v>
      </c>
      <c r="H357" t="s">
        <v>62</v>
      </c>
      <c r="I357" t="str">
        <f>"44144"</f>
        <v>44144</v>
      </c>
      <c r="J357" t="s">
        <v>22</v>
      </c>
      <c r="K357" t="s">
        <v>30</v>
      </c>
      <c r="L357" s="2">
        <v>20828977</v>
      </c>
      <c r="M357" s="2">
        <v>5001549</v>
      </c>
      <c r="N357" s="2">
        <v>0</v>
      </c>
      <c r="O357" s="2">
        <v>1486090</v>
      </c>
      <c r="P357" t="s">
        <v>24</v>
      </c>
      <c r="Q357" t="s">
        <v>24</v>
      </c>
    </row>
    <row r="358" spans="1:17" x14ac:dyDescent="0.25">
      <c r="A358" t="s">
        <v>4746</v>
      </c>
      <c r="B358" t="s">
        <v>4747</v>
      </c>
      <c r="C358" s="1">
        <v>40909</v>
      </c>
      <c r="D358" s="1">
        <v>41274</v>
      </c>
      <c r="E358" t="s">
        <v>4748</v>
      </c>
      <c r="G358" t="s">
        <v>4749</v>
      </c>
      <c r="H358" t="s">
        <v>29</v>
      </c>
      <c r="I358" t="str">
        <f>"62035"</f>
        <v>62035</v>
      </c>
      <c r="J358" t="s">
        <v>22</v>
      </c>
      <c r="K358" t="s">
        <v>23</v>
      </c>
      <c r="L358" s="2">
        <v>20826211</v>
      </c>
      <c r="M358" s="2">
        <v>16794936</v>
      </c>
      <c r="N358" s="2">
        <v>3727</v>
      </c>
      <c r="O358" s="2">
        <v>888107</v>
      </c>
      <c r="P358" t="s">
        <v>24</v>
      </c>
      <c r="Q358" t="s">
        <v>24</v>
      </c>
    </row>
    <row r="359" spans="1:17" x14ac:dyDescent="0.25">
      <c r="A359" t="s">
        <v>3384</v>
      </c>
      <c r="B359" t="s">
        <v>3385</v>
      </c>
      <c r="C359" s="1">
        <v>41456</v>
      </c>
      <c r="D359" s="1">
        <v>41820</v>
      </c>
      <c r="E359" t="s">
        <v>3386</v>
      </c>
      <c r="G359" t="s">
        <v>2785</v>
      </c>
      <c r="H359" t="s">
        <v>62</v>
      </c>
      <c r="I359" t="str">
        <f>"45501"</f>
        <v>45501</v>
      </c>
      <c r="J359" t="s">
        <v>22</v>
      </c>
      <c r="K359" t="s">
        <v>23</v>
      </c>
      <c r="L359" s="2">
        <v>20790283</v>
      </c>
      <c r="M359" s="2">
        <v>19930028</v>
      </c>
      <c r="N359" s="2">
        <v>79293</v>
      </c>
      <c r="O359" s="2">
        <v>1677796</v>
      </c>
      <c r="P359" t="s">
        <v>24</v>
      </c>
      <c r="Q359" t="s">
        <v>24</v>
      </c>
    </row>
    <row r="360" spans="1:17" x14ac:dyDescent="0.25">
      <c r="A360" t="s">
        <v>3904</v>
      </c>
      <c r="B360" t="s">
        <v>3905</v>
      </c>
      <c r="C360" s="1">
        <v>41275</v>
      </c>
      <c r="D360" s="1">
        <v>41639</v>
      </c>
      <c r="E360" t="s">
        <v>3906</v>
      </c>
      <c r="G360" t="s">
        <v>353</v>
      </c>
      <c r="H360" t="s">
        <v>62</v>
      </c>
      <c r="I360" t="str">
        <f>"43220"</f>
        <v>43220</v>
      </c>
      <c r="J360" t="s">
        <v>22</v>
      </c>
      <c r="K360" t="s">
        <v>30</v>
      </c>
      <c r="L360" s="2">
        <v>20777050</v>
      </c>
      <c r="M360" s="2">
        <v>5711930</v>
      </c>
      <c r="N360" s="2">
        <v>0</v>
      </c>
      <c r="O360" s="2">
        <v>1109823</v>
      </c>
      <c r="P360" t="s">
        <v>24</v>
      </c>
      <c r="Q360" t="s">
        <v>24</v>
      </c>
    </row>
    <row r="361" spans="1:17" x14ac:dyDescent="0.25">
      <c r="A361" t="s">
        <v>7230</v>
      </c>
      <c r="B361" t="s">
        <v>7231</v>
      </c>
      <c r="C361" s="1">
        <v>41275</v>
      </c>
      <c r="D361" s="1">
        <v>41639</v>
      </c>
      <c r="E361" t="s">
        <v>7232</v>
      </c>
      <c r="F361" t="s">
        <v>7233</v>
      </c>
      <c r="G361" t="s">
        <v>337</v>
      </c>
      <c r="H361" t="s">
        <v>62</v>
      </c>
      <c r="I361" t="str">
        <f>"44113"</f>
        <v>44113</v>
      </c>
      <c r="J361" t="s">
        <v>22</v>
      </c>
      <c r="K361" t="s">
        <v>7234</v>
      </c>
      <c r="L361" s="2">
        <v>20742628</v>
      </c>
      <c r="M361" s="2">
        <v>3301862</v>
      </c>
      <c r="N361" s="2">
        <v>0</v>
      </c>
      <c r="O361" s="2">
        <v>1111142</v>
      </c>
      <c r="P361" t="s">
        <v>24</v>
      </c>
      <c r="Q361" t="s">
        <v>24</v>
      </c>
    </row>
    <row r="362" spans="1:17" x14ac:dyDescent="0.25">
      <c r="A362" t="s">
        <v>7453</v>
      </c>
      <c r="B362" t="s">
        <v>7454</v>
      </c>
      <c r="C362" s="1">
        <v>41275</v>
      </c>
      <c r="D362" s="1">
        <v>41639</v>
      </c>
      <c r="E362" t="s">
        <v>7455</v>
      </c>
      <c r="G362" t="s">
        <v>1946</v>
      </c>
      <c r="H362" t="s">
        <v>21</v>
      </c>
      <c r="I362" t="str">
        <f>"46131"</f>
        <v>46131</v>
      </c>
      <c r="J362" t="s">
        <v>63</v>
      </c>
      <c r="K362" t="s">
        <v>64</v>
      </c>
      <c r="L362" s="2">
        <v>20713844</v>
      </c>
      <c r="M362" s="2">
        <v>2534435</v>
      </c>
      <c r="N362" s="2">
        <v>631999</v>
      </c>
      <c r="O362" s="2">
        <v>1438673</v>
      </c>
      <c r="P362" s="2">
        <v>158204</v>
      </c>
      <c r="Q362" s="2">
        <v>163153</v>
      </c>
    </row>
    <row r="363" spans="1:17" x14ac:dyDescent="0.25">
      <c r="A363" t="s">
        <v>3129</v>
      </c>
      <c r="B363" t="s">
        <v>3130</v>
      </c>
      <c r="C363" s="1">
        <v>41275</v>
      </c>
      <c r="D363" s="1">
        <v>41639</v>
      </c>
      <c r="E363" t="s">
        <v>3131</v>
      </c>
      <c r="F363" t="s">
        <v>3132</v>
      </c>
      <c r="G363" t="s">
        <v>2278</v>
      </c>
      <c r="H363" t="s">
        <v>21</v>
      </c>
      <c r="I363" t="str">
        <f>"46052"</f>
        <v>46052</v>
      </c>
      <c r="J363" t="s">
        <v>63</v>
      </c>
      <c r="K363" t="s">
        <v>64</v>
      </c>
      <c r="L363" s="2">
        <v>20674876</v>
      </c>
      <c r="M363" s="2">
        <v>1999248</v>
      </c>
      <c r="N363" s="2">
        <v>936236</v>
      </c>
      <c r="O363" s="2">
        <v>1645282</v>
      </c>
      <c r="P363" s="2">
        <v>192475</v>
      </c>
      <c r="Q363" s="2">
        <v>102294</v>
      </c>
    </row>
    <row r="364" spans="1:17" x14ac:dyDescent="0.25">
      <c r="A364" t="s">
        <v>4728</v>
      </c>
      <c r="B364" t="s">
        <v>4729</v>
      </c>
      <c r="C364" s="1">
        <v>41334</v>
      </c>
      <c r="D364" s="1">
        <v>41698</v>
      </c>
      <c r="E364" t="s">
        <v>4730</v>
      </c>
      <c r="G364" t="s">
        <v>86</v>
      </c>
      <c r="H364" t="s">
        <v>42</v>
      </c>
      <c r="I364" t="str">
        <f>"53708"</f>
        <v>53708</v>
      </c>
      <c r="J364" t="s">
        <v>63</v>
      </c>
      <c r="K364" t="s">
        <v>64</v>
      </c>
      <c r="L364" s="2">
        <v>20630114</v>
      </c>
      <c r="M364" s="2">
        <v>2792141</v>
      </c>
      <c r="N364" s="2">
        <v>0</v>
      </c>
      <c r="O364" s="2">
        <v>1658414</v>
      </c>
      <c r="P364" s="2">
        <v>189181</v>
      </c>
      <c r="Q364" s="2">
        <v>0</v>
      </c>
    </row>
    <row r="365" spans="1:17" x14ac:dyDescent="0.25">
      <c r="A365" t="s">
        <v>7781</v>
      </c>
      <c r="B365" t="s">
        <v>7782</v>
      </c>
      <c r="E365" t="s">
        <v>7783</v>
      </c>
      <c r="G365" t="s">
        <v>160</v>
      </c>
      <c r="H365" t="s">
        <v>78</v>
      </c>
      <c r="I365" t="str">
        <f>"40503"</f>
        <v>40503</v>
      </c>
      <c r="J365" t="s">
        <v>22</v>
      </c>
      <c r="K365" t="s">
        <v>23</v>
      </c>
      <c r="L365" s="2">
        <v>20498339</v>
      </c>
      <c r="M365" s="2">
        <v>13359549</v>
      </c>
      <c r="N365" s="2">
        <v>0</v>
      </c>
      <c r="O365" s="2">
        <v>2014391</v>
      </c>
      <c r="P365" t="s">
        <v>24</v>
      </c>
      <c r="Q365" t="s">
        <v>24</v>
      </c>
    </row>
    <row r="366" spans="1:17" x14ac:dyDescent="0.25">
      <c r="A366" t="s">
        <v>4287</v>
      </c>
      <c r="B366" t="s">
        <v>4288</v>
      </c>
      <c r="C366" s="1">
        <v>41122</v>
      </c>
      <c r="D366" s="1">
        <v>41486</v>
      </c>
      <c r="E366" t="s">
        <v>4289</v>
      </c>
      <c r="G366" t="s">
        <v>337</v>
      </c>
      <c r="H366" t="s">
        <v>62</v>
      </c>
      <c r="I366" t="str">
        <f>"44130"</f>
        <v>44130</v>
      </c>
      <c r="J366" t="s">
        <v>22</v>
      </c>
      <c r="K366" t="s">
        <v>30</v>
      </c>
      <c r="L366" s="2">
        <v>20497829</v>
      </c>
      <c r="M366" s="2">
        <v>5063149</v>
      </c>
      <c r="N366" s="2">
        <v>10396</v>
      </c>
      <c r="O366" s="2">
        <v>1738650</v>
      </c>
      <c r="P366" t="s">
        <v>24</v>
      </c>
      <c r="Q366" t="s">
        <v>24</v>
      </c>
    </row>
    <row r="367" spans="1:17" x14ac:dyDescent="0.25">
      <c r="A367" t="s">
        <v>6811</v>
      </c>
      <c r="B367" t="s">
        <v>6812</v>
      </c>
      <c r="C367" s="1">
        <v>41456</v>
      </c>
      <c r="D367" s="1">
        <v>41820</v>
      </c>
      <c r="E367" t="s">
        <v>6813</v>
      </c>
      <c r="G367" t="s">
        <v>6814</v>
      </c>
      <c r="H367" t="s">
        <v>78</v>
      </c>
      <c r="I367" t="str">
        <f>"40014"</f>
        <v>40014</v>
      </c>
      <c r="J367" t="s">
        <v>22</v>
      </c>
      <c r="K367" t="s">
        <v>79</v>
      </c>
      <c r="L367" s="2">
        <v>20340944</v>
      </c>
      <c r="M367" s="2">
        <v>15252870</v>
      </c>
      <c r="N367" s="2">
        <v>47827</v>
      </c>
      <c r="O367" s="2">
        <v>1508797</v>
      </c>
      <c r="P367" t="s">
        <v>24</v>
      </c>
      <c r="Q367" t="s">
        <v>24</v>
      </c>
    </row>
    <row r="368" spans="1:17" x14ac:dyDescent="0.25">
      <c r="A368" t="s">
        <v>7677</v>
      </c>
      <c r="B368" t="s">
        <v>7678</v>
      </c>
      <c r="C368" s="1">
        <v>41183</v>
      </c>
      <c r="D368" s="1">
        <v>41547</v>
      </c>
      <c r="E368" t="s">
        <v>6099</v>
      </c>
      <c r="G368" t="s">
        <v>28</v>
      </c>
      <c r="H368" t="s">
        <v>29</v>
      </c>
      <c r="I368" t="str">
        <f>"60601"</f>
        <v>60601</v>
      </c>
      <c r="J368" t="s">
        <v>63</v>
      </c>
      <c r="K368" t="s">
        <v>23</v>
      </c>
      <c r="L368" s="2">
        <v>20321079</v>
      </c>
      <c r="M368" s="2">
        <v>2850574</v>
      </c>
      <c r="N368" s="2">
        <v>375000</v>
      </c>
      <c r="O368" s="2">
        <v>668229</v>
      </c>
      <c r="P368" s="2">
        <v>31742</v>
      </c>
      <c r="Q368" s="2">
        <v>10743</v>
      </c>
    </row>
    <row r="369" spans="1:17" x14ac:dyDescent="0.25">
      <c r="A369" t="s">
        <v>3040</v>
      </c>
      <c r="B369" t="s">
        <v>3041</v>
      </c>
      <c r="C369" s="1">
        <v>41275</v>
      </c>
      <c r="D369" s="1">
        <v>41639</v>
      </c>
      <c r="E369" t="s">
        <v>3042</v>
      </c>
      <c r="G369" t="s">
        <v>3043</v>
      </c>
      <c r="H369" t="s">
        <v>21</v>
      </c>
      <c r="I369" t="str">
        <f>"46725"</f>
        <v>46725</v>
      </c>
      <c r="J369" t="s">
        <v>63</v>
      </c>
      <c r="K369" t="s">
        <v>64</v>
      </c>
      <c r="L369" s="2">
        <v>20181240</v>
      </c>
      <c r="M369" s="2">
        <v>2303357</v>
      </c>
      <c r="N369" s="2">
        <v>567925</v>
      </c>
      <c r="O369" s="2">
        <v>1681700</v>
      </c>
      <c r="P369" s="2">
        <v>168323</v>
      </c>
      <c r="Q369" s="2">
        <v>120468</v>
      </c>
    </row>
    <row r="370" spans="1:17" x14ac:dyDescent="0.25">
      <c r="A370" t="s">
        <v>2831</v>
      </c>
      <c r="B370" t="s">
        <v>2832</v>
      </c>
      <c r="C370" s="1">
        <v>41275</v>
      </c>
      <c r="D370" s="1">
        <v>41639</v>
      </c>
      <c r="E370" t="s">
        <v>2833</v>
      </c>
      <c r="G370" t="s">
        <v>28</v>
      </c>
      <c r="H370" t="s">
        <v>29</v>
      </c>
      <c r="I370" t="str">
        <f>"60603"</f>
        <v>60603</v>
      </c>
      <c r="J370" t="s">
        <v>22</v>
      </c>
      <c r="K370" t="s">
        <v>23</v>
      </c>
      <c r="L370" s="2">
        <v>20165743</v>
      </c>
      <c r="M370" s="2">
        <v>4114734</v>
      </c>
      <c r="N370" s="2">
        <v>0</v>
      </c>
      <c r="O370" s="2">
        <v>1840148</v>
      </c>
      <c r="P370" t="s">
        <v>24</v>
      </c>
      <c r="Q370" t="s">
        <v>24</v>
      </c>
    </row>
    <row r="371" spans="1:17" x14ac:dyDescent="0.25">
      <c r="A371" t="s">
        <v>706</v>
      </c>
      <c r="B371" t="s">
        <v>707</v>
      </c>
      <c r="C371" s="1">
        <v>41275</v>
      </c>
      <c r="D371" s="1">
        <v>41639</v>
      </c>
      <c r="E371" t="s">
        <v>708</v>
      </c>
      <c r="F371" t="s">
        <v>709</v>
      </c>
      <c r="G371" t="s">
        <v>710</v>
      </c>
      <c r="H371" t="s">
        <v>78</v>
      </c>
      <c r="I371" t="str">
        <f>"42002"</f>
        <v>42002</v>
      </c>
      <c r="J371" t="s">
        <v>63</v>
      </c>
      <c r="K371" t="s">
        <v>64</v>
      </c>
      <c r="L371" s="2">
        <v>20100009</v>
      </c>
      <c r="M371" s="2">
        <v>2858098</v>
      </c>
      <c r="N371" s="2">
        <v>1749795</v>
      </c>
      <c r="O371" s="2">
        <v>1230596</v>
      </c>
      <c r="P371" s="2">
        <v>345633</v>
      </c>
      <c r="Q371" s="2">
        <v>71430</v>
      </c>
    </row>
    <row r="372" spans="1:17" x14ac:dyDescent="0.25">
      <c r="A372" t="s">
        <v>2811</v>
      </c>
      <c r="B372" t="s">
        <v>2812</v>
      </c>
      <c r="E372" t="s">
        <v>2813</v>
      </c>
      <c r="G372" t="s">
        <v>28</v>
      </c>
      <c r="H372" t="s">
        <v>29</v>
      </c>
      <c r="I372" t="str">
        <f>"60606"</f>
        <v>60606</v>
      </c>
      <c r="J372" t="s">
        <v>22</v>
      </c>
      <c r="K372" t="s">
        <v>64</v>
      </c>
      <c r="L372" s="2">
        <v>20000738</v>
      </c>
      <c r="M372" s="2">
        <v>20000738</v>
      </c>
      <c r="N372" s="2">
        <v>0</v>
      </c>
      <c r="O372" t="s">
        <v>24</v>
      </c>
      <c r="P372" t="s">
        <v>24</v>
      </c>
      <c r="Q372" t="s">
        <v>24</v>
      </c>
    </row>
    <row r="373" spans="1:17" x14ac:dyDescent="0.25">
      <c r="A373" t="s">
        <v>3749</v>
      </c>
      <c r="B373" t="s">
        <v>3750</v>
      </c>
      <c r="C373" s="1">
        <v>41091</v>
      </c>
      <c r="D373" s="1">
        <v>41455</v>
      </c>
      <c r="E373" t="s">
        <v>515</v>
      </c>
      <c r="F373" t="s">
        <v>516</v>
      </c>
      <c r="G373" t="s">
        <v>517</v>
      </c>
      <c r="H373" t="s">
        <v>62</v>
      </c>
      <c r="I373" t="str">
        <f>"45423"</f>
        <v>45423</v>
      </c>
      <c r="J373" t="s">
        <v>63</v>
      </c>
      <c r="K373" t="s">
        <v>64</v>
      </c>
      <c r="L373" s="2">
        <v>19879911</v>
      </c>
      <c r="M373" s="2">
        <v>17384890</v>
      </c>
      <c r="N373" s="2">
        <v>19411701</v>
      </c>
      <c r="O373" s="2">
        <v>13272938</v>
      </c>
      <c r="P373" s="2">
        <v>599427</v>
      </c>
      <c r="Q373" s="2">
        <v>0</v>
      </c>
    </row>
    <row r="374" spans="1:17" x14ac:dyDescent="0.25">
      <c r="A374" t="s">
        <v>2088</v>
      </c>
      <c r="B374" t="s">
        <v>2089</v>
      </c>
      <c r="C374" s="1">
        <v>41275</v>
      </c>
      <c r="D374" s="1">
        <v>41639</v>
      </c>
      <c r="E374" t="s">
        <v>2090</v>
      </c>
      <c r="G374" t="s">
        <v>28</v>
      </c>
      <c r="H374" t="s">
        <v>29</v>
      </c>
      <c r="I374" t="str">
        <f>"60623"</f>
        <v>60623</v>
      </c>
      <c r="J374" t="s">
        <v>22</v>
      </c>
      <c r="K374" t="s">
        <v>30</v>
      </c>
      <c r="L374" s="2">
        <v>19787140</v>
      </c>
      <c r="M374" s="2">
        <v>5404122</v>
      </c>
      <c r="N374" s="2">
        <v>0</v>
      </c>
      <c r="O374" s="2">
        <v>1742524</v>
      </c>
      <c r="P374" t="s">
        <v>24</v>
      </c>
      <c r="Q374" t="s">
        <v>24</v>
      </c>
    </row>
    <row r="375" spans="1:17" x14ac:dyDescent="0.25">
      <c r="A375" t="s">
        <v>5575</v>
      </c>
      <c r="B375" t="s">
        <v>5576</v>
      </c>
      <c r="C375" s="1">
        <v>41275</v>
      </c>
      <c r="D375" s="1">
        <v>41639</v>
      </c>
      <c r="E375" t="s">
        <v>5577</v>
      </c>
      <c r="G375" t="s">
        <v>184</v>
      </c>
      <c r="H375" t="s">
        <v>29</v>
      </c>
      <c r="I375" t="str">
        <f>"60015"</f>
        <v>60015</v>
      </c>
      <c r="J375" t="s">
        <v>22</v>
      </c>
      <c r="K375" t="s">
        <v>23</v>
      </c>
      <c r="L375" s="2">
        <v>19584151</v>
      </c>
      <c r="M375" s="2">
        <v>3434254</v>
      </c>
      <c r="N375" s="2">
        <v>0</v>
      </c>
      <c r="O375" s="2">
        <v>1028004</v>
      </c>
      <c r="P375" t="s">
        <v>24</v>
      </c>
      <c r="Q375" t="s">
        <v>24</v>
      </c>
    </row>
    <row r="376" spans="1:17" x14ac:dyDescent="0.25">
      <c r="A376" t="s">
        <v>3352</v>
      </c>
      <c r="B376" t="s">
        <v>3353</v>
      </c>
      <c r="C376" s="1">
        <v>41275</v>
      </c>
      <c r="D376" s="1">
        <v>41639</v>
      </c>
      <c r="E376" t="s">
        <v>3354</v>
      </c>
      <c r="G376" t="s">
        <v>710</v>
      </c>
      <c r="H376" t="s">
        <v>78</v>
      </c>
      <c r="I376" t="str">
        <f>"42002"</f>
        <v>42002</v>
      </c>
      <c r="J376" t="s">
        <v>22</v>
      </c>
      <c r="K376" t="s">
        <v>30</v>
      </c>
      <c r="L376" s="2">
        <v>19524150</v>
      </c>
      <c r="M376" s="2">
        <v>4235330</v>
      </c>
      <c r="N376" s="2">
        <v>0</v>
      </c>
      <c r="O376" s="2">
        <v>790278</v>
      </c>
      <c r="P376" t="s">
        <v>24</v>
      </c>
      <c r="Q376" t="s">
        <v>24</v>
      </c>
    </row>
    <row r="377" spans="1:17" x14ac:dyDescent="0.25">
      <c r="A377" t="s">
        <v>6387</v>
      </c>
      <c r="B377" t="s">
        <v>6388</v>
      </c>
      <c r="C377" s="1">
        <v>41275</v>
      </c>
      <c r="D377" s="1">
        <v>41639</v>
      </c>
      <c r="E377" t="s">
        <v>6389</v>
      </c>
      <c r="G377" t="s">
        <v>6390</v>
      </c>
      <c r="H377" t="s">
        <v>42</v>
      </c>
      <c r="I377" t="str">
        <f>"54981"</f>
        <v>54981</v>
      </c>
      <c r="J377" t="s">
        <v>22</v>
      </c>
      <c r="K377" t="s">
        <v>30</v>
      </c>
      <c r="L377" s="2">
        <v>19463669</v>
      </c>
      <c r="M377" s="2">
        <v>1387192</v>
      </c>
      <c r="N377" s="2">
        <v>0</v>
      </c>
      <c r="O377" s="2">
        <v>1155673</v>
      </c>
      <c r="P377" t="s">
        <v>24</v>
      </c>
      <c r="Q377" t="s">
        <v>24</v>
      </c>
    </row>
    <row r="378" spans="1:17" x14ac:dyDescent="0.25">
      <c r="A378" t="s">
        <v>4204</v>
      </c>
      <c r="B378" t="s">
        <v>4205</v>
      </c>
      <c r="C378" s="1">
        <v>41365</v>
      </c>
      <c r="D378" s="1">
        <v>41455</v>
      </c>
      <c r="E378" t="s">
        <v>4206</v>
      </c>
      <c r="G378" t="s">
        <v>4207</v>
      </c>
      <c r="H378" t="s">
        <v>21</v>
      </c>
      <c r="I378" t="str">
        <f>"46952"</f>
        <v>46952</v>
      </c>
      <c r="J378" t="s">
        <v>63</v>
      </c>
      <c r="K378" t="s">
        <v>64</v>
      </c>
      <c r="L378" s="2">
        <v>19408324</v>
      </c>
      <c r="M378" s="2">
        <v>239460</v>
      </c>
      <c r="N378" s="2">
        <v>1190331</v>
      </c>
      <c r="O378" s="2">
        <v>408395</v>
      </c>
      <c r="P378" s="2">
        <v>84384</v>
      </c>
      <c r="Q378" s="2">
        <v>11893</v>
      </c>
    </row>
    <row r="379" spans="1:17" x14ac:dyDescent="0.25">
      <c r="A379" t="s">
        <v>6716</v>
      </c>
      <c r="B379" t="s">
        <v>6717</v>
      </c>
      <c r="C379" s="1">
        <v>40909</v>
      </c>
      <c r="D379" s="1">
        <v>41274</v>
      </c>
      <c r="E379" t="s">
        <v>6718</v>
      </c>
      <c r="G379" t="s">
        <v>77</v>
      </c>
      <c r="H379" t="s">
        <v>78</v>
      </c>
      <c r="I379" t="str">
        <f>"40299"</f>
        <v>40299</v>
      </c>
      <c r="J379" t="s">
        <v>22</v>
      </c>
      <c r="K379" t="s">
        <v>23</v>
      </c>
      <c r="L379" s="2">
        <v>19370337</v>
      </c>
      <c r="M379" s="2">
        <v>5795218</v>
      </c>
      <c r="N379" s="2">
        <v>0</v>
      </c>
      <c r="O379" s="2">
        <v>899621</v>
      </c>
      <c r="P379" t="s">
        <v>24</v>
      </c>
      <c r="Q379" t="s">
        <v>24</v>
      </c>
    </row>
    <row r="380" spans="1:17" x14ac:dyDescent="0.25">
      <c r="A380" t="s">
        <v>1827</v>
      </c>
      <c r="B380" t="s">
        <v>1828</v>
      </c>
      <c r="C380" s="1">
        <v>41275</v>
      </c>
      <c r="D380" s="1">
        <v>41639</v>
      </c>
      <c r="E380" t="s">
        <v>1829</v>
      </c>
      <c r="G380" t="s">
        <v>627</v>
      </c>
      <c r="H380" t="s">
        <v>29</v>
      </c>
      <c r="I380" t="str">
        <f>"60201"</f>
        <v>60201</v>
      </c>
      <c r="J380" t="s">
        <v>63</v>
      </c>
      <c r="K380" t="s">
        <v>64</v>
      </c>
      <c r="L380" s="2">
        <v>19320311</v>
      </c>
      <c r="M380" s="2">
        <v>2854708</v>
      </c>
      <c r="N380" s="2">
        <v>2946856</v>
      </c>
      <c r="O380" s="2">
        <v>2547855</v>
      </c>
      <c r="P380" s="2">
        <v>195725</v>
      </c>
      <c r="Q380" s="2">
        <v>153611</v>
      </c>
    </row>
    <row r="381" spans="1:17" x14ac:dyDescent="0.25">
      <c r="A381" t="s">
        <v>7673</v>
      </c>
      <c r="B381" t="s">
        <v>7674</v>
      </c>
      <c r="C381" s="1">
        <v>41275</v>
      </c>
      <c r="D381" s="1">
        <v>41639</v>
      </c>
      <c r="E381" t="s">
        <v>7675</v>
      </c>
      <c r="F381" t="s">
        <v>7676</v>
      </c>
      <c r="G381" t="s">
        <v>1853</v>
      </c>
      <c r="H381" t="s">
        <v>29</v>
      </c>
      <c r="I381" t="str">
        <f>"62305"</f>
        <v>62305</v>
      </c>
      <c r="J381" t="s">
        <v>63</v>
      </c>
      <c r="K381" t="s">
        <v>64</v>
      </c>
      <c r="L381" s="2">
        <v>19261280</v>
      </c>
      <c r="M381" s="2">
        <v>2453691</v>
      </c>
      <c r="N381" s="2">
        <v>379712</v>
      </c>
      <c r="O381" s="2">
        <v>590473</v>
      </c>
      <c r="P381" s="2">
        <v>129981</v>
      </c>
      <c r="Q381" s="2">
        <v>48613</v>
      </c>
    </row>
    <row r="382" spans="1:17" x14ac:dyDescent="0.25">
      <c r="A382" t="s">
        <v>4369</v>
      </c>
      <c r="B382" t="s">
        <v>4370</v>
      </c>
      <c r="C382" s="1">
        <v>40909</v>
      </c>
      <c r="D382" s="1">
        <v>41274</v>
      </c>
      <c r="E382" t="s">
        <v>4371</v>
      </c>
      <c r="G382" t="s">
        <v>28</v>
      </c>
      <c r="H382" t="s">
        <v>29</v>
      </c>
      <c r="I382" t="str">
        <f>"60606"</f>
        <v>60606</v>
      </c>
      <c r="J382" t="s">
        <v>22</v>
      </c>
      <c r="K382" t="s">
        <v>30</v>
      </c>
      <c r="L382" s="2">
        <v>19251545</v>
      </c>
      <c r="M382" s="2">
        <v>7299829</v>
      </c>
      <c r="N382" s="2">
        <v>0</v>
      </c>
      <c r="O382" s="2">
        <v>2018232</v>
      </c>
      <c r="P382" t="s">
        <v>24</v>
      </c>
      <c r="Q382" t="s">
        <v>24</v>
      </c>
    </row>
    <row r="383" spans="1:17" x14ac:dyDescent="0.25">
      <c r="A383" t="s">
        <v>5347</v>
      </c>
      <c r="B383" t="s">
        <v>5348</v>
      </c>
      <c r="C383" s="1">
        <v>41091</v>
      </c>
      <c r="D383" s="1">
        <v>41455</v>
      </c>
      <c r="E383" t="s">
        <v>5349</v>
      </c>
      <c r="G383" t="s">
        <v>41</v>
      </c>
      <c r="H383" t="s">
        <v>42</v>
      </c>
      <c r="I383" t="str">
        <f>"53202"</f>
        <v>53202</v>
      </c>
      <c r="J383" t="s">
        <v>22</v>
      </c>
      <c r="K383" t="s">
        <v>23</v>
      </c>
      <c r="L383" s="2">
        <v>19169045</v>
      </c>
      <c r="M383" s="2">
        <v>7822744</v>
      </c>
      <c r="N383" s="2">
        <v>0</v>
      </c>
      <c r="O383" s="2">
        <v>901285</v>
      </c>
      <c r="P383" t="s">
        <v>24</v>
      </c>
      <c r="Q383" t="s">
        <v>24</v>
      </c>
    </row>
    <row r="384" spans="1:17" x14ac:dyDescent="0.25">
      <c r="A384" t="s">
        <v>7027</v>
      </c>
      <c r="B384" t="s">
        <v>7028</v>
      </c>
      <c r="C384" s="1">
        <v>41275</v>
      </c>
      <c r="D384" s="1">
        <v>41639</v>
      </c>
      <c r="E384" t="s">
        <v>7029</v>
      </c>
      <c r="F384" t="s">
        <v>1736</v>
      </c>
      <c r="G384" t="s">
        <v>3972</v>
      </c>
      <c r="H384" t="s">
        <v>78</v>
      </c>
      <c r="I384" t="str">
        <f>"41101"</f>
        <v>41101</v>
      </c>
      <c r="J384" t="s">
        <v>63</v>
      </c>
      <c r="K384" t="s">
        <v>64</v>
      </c>
      <c r="L384" s="2">
        <v>19165325</v>
      </c>
      <c r="M384" s="2">
        <v>2899177</v>
      </c>
      <c r="N384" s="2">
        <v>567151</v>
      </c>
      <c r="O384" s="2">
        <v>1261142</v>
      </c>
      <c r="P384" s="2">
        <v>408887</v>
      </c>
      <c r="Q384" s="2">
        <v>61845</v>
      </c>
    </row>
    <row r="385" spans="1:17" x14ac:dyDescent="0.25">
      <c r="A385" t="s">
        <v>3177</v>
      </c>
      <c r="B385" t="s">
        <v>3178</v>
      </c>
      <c r="C385" s="1">
        <v>41275</v>
      </c>
      <c r="D385" s="1">
        <v>41639</v>
      </c>
      <c r="E385" t="s">
        <v>104</v>
      </c>
      <c r="G385" t="s">
        <v>28</v>
      </c>
      <c r="H385" t="s">
        <v>29</v>
      </c>
      <c r="I385" t="str">
        <f>"60680"</f>
        <v>60680</v>
      </c>
      <c r="J385" t="s">
        <v>63</v>
      </c>
      <c r="K385" t="s">
        <v>23</v>
      </c>
      <c r="L385" s="2">
        <v>19150953</v>
      </c>
      <c r="M385" s="2">
        <v>2312293</v>
      </c>
      <c r="N385" s="2">
        <v>0</v>
      </c>
      <c r="O385" s="2">
        <v>475997</v>
      </c>
      <c r="P385" s="2">
        <v>107103</v>
      </c>
      <c r="Q385" t="s">
        <v>24</v>
      </c>
    </row>
    <row r="386" spans="1:17" x14ac:dyDescent="0.25">
      <c r="A386" t="s">
        <v>536</v>
      </c>
      <c r="B386" t="s">
        <v>537</v>
      </c>
      <c r="C386" s="1">
        <v>41275</v>
      </c>
      <c r="D386" s="1">
        <v>41639</v>
      </c>
      <c r="E386" t="s">
        <v>352</v>
      </c>
      <c r="G386" t="s">
        <v>353</v>
      </c>
      <c r="H386" t="s">
        <v>62</v>
      </c>
      <c r="I386" t="str">
        <f>"43205"</f>
        <v>43205</v>
      </c>
      <c r="J386" t="s">
        <v>63</v>
      </c>
      <c r="K386" t="s">
        <v>23</v>
      </c>
      <c r="L386" s="2">
        <v>19066108</v>
      </c>
      <c r="M386" s="2">
        <v>7994474</v>
      </c>
      <c r="N386" s="2">
        <v>5718214</v>
      </c>
      <c r="O386" s="2">
        <v>7198168</v>
      </c>
      <c r="P386" s="2">
        <v>146443</v>
      </c>
      <c r="Q386" s="2">
        <v>0</v>
      </c>
    </row>
    <row r="387" spans="1:17" x14ac:dyDescent="0.25">
      <c r="A387" t="s">
        <v>341</v>
      </c>
      <c r="B387" t="s">
        <v>342</v>
      </c>
      <c r="C387" s="1">
        <v>41275</v>
      </c>
      <c r="D387" s="1">
        <v>41639</v>
      </c>
      <c r="E387" t="s">
        <v>343</v>
      </c>
      <c r="G387" t="s">
        <v>28</v>
      </c>
      <c r="H387" t="s">
        <v>29</v>
      </c>
      <c r="I387" t="str">
        <f>"60611"</f>
        <v>60611</v>
      </c>
      <c r="J387" t="s">
        <v>22</v>
      </c>
      <c r="K387" t="s">
        <v>23</v>
      </c>
      <c r="L387" s="2">
        <v>19062247</v>
      </c>
      <c r="M387" s="2">
        <v>26325798</v>
      </c>
      <c r="N387" s="2">
        <v>0</v>
      </c>
      <c r="O387" s="2">
        <v>2316547</v>
      </c>
      <c r="P387" t="s">
        <v>24</v>
      </c>
      <c r="Q387" t="s">
        <v>24</v>
      </c>
    </row>
    <row r="388" spans="1:17" x14ac:dyDescent="0.25">
      <c r="A388" t="s">
        <v>7778</v>
      </c>
      <c r="B388" t="s">
        <v>7779</v>
      </c>
      <c r="E388" t="s">
        <v>7780</v>
      </c>
      <c r="G388" t="s">
        <v>139</v>
      </c>
      <c r="H388" t="s">
        <v>47</v>
      </c>
      <c r="I388" t="str">
        <f>"49503"</f>
        <v>49503</v>
      </c>
      <c r="J388" t="s">
        <v>63</v>
      </c>
      <c r="K388" t="s">
        <v>64</v>
      </c>
      <c r="L388" s="2">
        <v>19052625</v>
      </c>
      <c r="M388" s="2">
        <v>11984981</v>
      </c>
      <c r="N388" s="2">
        <v>0</v>
      </c>
      <c r="O388" t="s">
        <v>24</v>
      </c>
      <c r="P388" t="s">
        <v>24</v>
      </c>
      <c r="Q388" t="s">
        <v>24</v>
      </c>
    </row>
    <row r="389" spans="1:17" x14ac:dyDescent="0.25">
      <c r="A389" t="s">
        <v>6733</v>
      </c>
      <c r="B389" t="s">
        <v>6734</v>
      </c>
      <c r="C389" s="1">
        <v>41275</v>
      </c>
      <c r="D389" s="1">
        <v>41639</v>
      </c>
      <c r="E389" t="s">
        <v>6735</v>
      </c>
      <c r="G389" t="s">
        <v>6736</v>
      </c>
      <c r="H389" t="s">
        <v>62</v>
      </c>
      <c r="I389" t="str">
        <f>"43136"</f>
        <v>43136</v>
      </c>
      <c r="J389" t="s">
        <v>22</v>
      </c>
      <c r="K389" t="s">
        <v>23</v>
      </c>
      <c r="L389" s="2">
        <v>18998748</v>
      </c>
      <c r="M389" s="2">
        <v>664411</v>
      </c>
      <c r="N389" s="2">
        <v>42873</v>
      </c>
      <c r="O389" s="2">
        <v>756487</v>
      </c>
      <c r="P389" t="s">
        <v>24</v>
      </c>
      <c r="Q389" t="s">
        <v>24</v>
      </c>
    </row>
    <row r="390" spans="1:17" x14ac:dyDescent="0.25">
      <c r="A390" t="s">
        <v>630</v>
      </c>
      <c r="B390" t="s">
        <v>631</v>
      </c>
      <c r="C390" s="1">
        <v>41275</v>
      </c>
      <c r="D390" s="1">
        <v>41639</v>
      </c>
      <c r="E390" t="s">
        <v>367</v>
      </c>
      <c r="G390" t="s">
        <v>28</v>
      </c>
      <c r="H390" t="s">
        <v>29</v>
      </c>
      <c r="I390" t="str">
        <f>"60606"</f>
        <v>60606</v>
      </c>
      <c r="J390" t="s">
        <v>22</v>
      </c>
      <c r="K390" t="s">
        <v>30</v>
      </c>
      <c r="L390" s="2">
        <v>18961784</v>
      </c>
      <c r="M390" s="2">
        <v>1542161</v>
      </c>
      <c r="N390" s="2">
        <v>0</v>
      </c>
      <c r="O390" s="2">
        <v>1605736</v>
      </c>
      <c r="P390" t="s">
        <v>24</v>
      </c>
      <c r="Q390" t="s">
        <v>24</v>
      </c>
    </row>
    <row r="391" spans="1:17" x14ac:dyDescent="0.25">
      <c r="A391" t="s">
        <v>1565</v>
      </c>
      <c r="B391" t="s">
        <v>1566</v>
      </c>
      <c r="C391" s="1">
        <v>41275</v>
      </c>
      <c r="D391" s="1">
        <v>41639</v>
      </c>
      <c r="E391" t="s">
        <v>1567</v>
      </c>
      <c r="F391" t="s">
        <v>1568</v>
      </c>
      <c r="G391" t="s">
        <v>1418</v>
      </c>
      <c r="H391" t="s">
        <v>21</v>
      </c>
      <c r="I391" t="str">
        <f>"47167"</f>
        <v>47167</v>
      </c>
      <c r="J391" t="s">
        <v>63</v>
      </c>
      <c r="K391" t="s">
        <v>64</v>
      </c>
      <c r="L391" s="2">
        <v>18953727</v>
      </c>
      <c r="M391" s="2">
        <v>1424098</v>
      </c>
      <c r="N391" s="2">
        <v>3703612</v>
      </c>
      <c r="O391" s="2">
        <v>914046</v>
      </c>
      <c r="P391" s="2">
        <v>31535</v>
      </c>
      <c r="Q391" s="2">
        <v>33581</v>
      </c>
    </row>
    <row r="392" spans="1:17" x14ac:dyDescent="0.25">
      <c r="A392" t="s">
        <v>2646</v>
      </c>
      <c r="B392" t="s">
        <v>2647</v>
      </c>
      <c r="C392" s="1">
        <v>41275</v>
      </c>
      <c r="D392" s="1">
        <v>41639</v>
      </c>
      <c r="E392" t="s">
        <v>2648</v>
      </c>
      <c r="G392" t="s">
        <v>28</v>
      </c>
      <c r="H392" t="s">
        <v>29</v>
      </c>
      <c r="I392" t="str">
        <f>"60603"</f>
        <v>60603</v>
      </c>
      <c r="J392" t="s">
        <v>22</v>
      </c>
      <c r="K392" t="s">
        <v>23</v>
      </c>
      <c r="L392" s="2">
        <v>18913858</v>
      </c>
      <c r="M392" s="2">
        <v>1407386</v>
      </c>
      <c r="N392" s="2">
        <v>1820159</v>
      </c>
      <c r="O392" s="2">
        <v>892701</v>
      </c>
      <c r="P392" t="s">
        <v>24</v>
      </c>
      <c r="Q392" t="s">
        <v>24</v>
      </c>
    </row>
    <row r="393" spans="1:17" x14ac:dyDescent="0.25">
      <c r="A393" t="s">
        <v>7581</v>
      </c>
      <c r="B393" t="s">
        <v>7582</v>
      </c>
      <c r="C393" s="1">
        <v>40909</v>
      </c>
      <c r="D393" s="1">
        <v>41274</v>
      </c>
      <c r="E393" t="s">
        <v>7583</v>
      </c>
      <c r="G393" t="s">
        <v>119</v>
      </c>
      <c r="H393" t="s">
        <v>29</v>
      </c>
      <c r="I393" t="str">
        <f>"60089"</f>
        <v>60089</v>
      </c>
      <c r="J393" t="s">
        <v>22</v>
      </c>
      <c r="K393" t="s">
        <v>30</v>
      </c>
      <c r="L393" s="2">
        <v>18788828</v>
      </c>
      <c r="M393" s="2">
        <v>12695211</v>
      </c>
      <c r="N393" s="2">
        <v>0</v>
      </c>
      <c r="O393" s="2">
        <v>1025349</v>
      </c>
      <c r="P393" t="s">
        <v>24</v>
      </c>
      <c r="Q393" t="s">
        <v>24</v>
      </c>
    </row>
    <row r="394" spans="1:17" x14ac:dyDescent="0.25">
      <c r="A394" t="s">
        <v>7301</v>
      </c>
      <c r="B394" t="s">
        <v>7302</v>
      </c>
      <c r="C394" s="1">
        <v>41275</v>
      </c>
      <c r="D394" s="1">
        <v>41639</v>
      </c>
      <c r="E394" t="s">
        <v>7303</v>
      </c>
      <c r="G394" t="s">
        <v>28</v>
      </c>
      <c r="H394" t="s">
        <v>29</v>
      </c>
      <c r="I394" t="str">
        <f>"60697"</f>
        <v>60697</v>
      </c>
      <c r="J394" t="s">
        <v>22</v>
      </c>
      <c r="K394" t="s">
        <v>30</v>
      </c>
      <c r="L394" s="2">
        <v>18613126</v>
      </c>
      <c r="M394" s="2">
        <v>12883153</v>
      </c>
      <c r="N394" s="2">
        <v>0</v>
      </c>
      <c r="O394" s="2">
        <v>960467</v>
      </c>
      <c r="P394" t="s">
        <v>24</v>
      </c>
      <c r="Q394" t="s">
        <v>24</v>
      </c>
    </row>
    <row r="395" spans="1:17" x14ac:dyDescent="0.25">
      <c r="A395" t="s">
        <v>7129</v>
      </c>
      <c r="B395" t="s">
        <v>7130</v>
      </c>
      <c r="C395" s="1">
        <v>41275</v>
      </c>
      <c r="D395" s="1">
        <v>41639</v>
      </c>
      <c r="E395" t="s">
        <v>7131</v>
      </c>
      <c r="G395" t="s">
        <v>41</v>
      </c>
      <c r="H395" t="s">
        <v>42</v>
      </c>
      <c r="I395" t="str">
        <f>"53226"</f>
        <v>53226</v>
      </c>
      <c r="J395" t="s">
        <v>22</v>
      </c>
      <c r="K395" t="s">
        <v>23</v>
      </c>
      <c r="L395" s="2">
        <v>18592031</v>
      </c>
      <c r="M395" s="2">
        <v>8037774</v>
      </c>
      <c r="N395" s="2">
        <v>9388</v>
      </c>
      <c r="O395" s="2">
        <v>5428649</v>
      </c>
      <c r="P395" t="s">
        <v>24</v>
      </c>
      <c r="Q395" t="s">
        <v>24</v>
      </c>
    </row>
    <row r="396" spans="1:17" x14ac:dyDescent="0.25">
      <c r="A396" t="s">
        <v>7437</v>
      </c>
      <c r="B396" t="s">
        <v>7438</v>
      </c>
      <c r="C396" s="1">
        <v>41275</v>
      </c>
      <c r="D396" s="1">
        <v>41639</v>
      </c>
      <c r="E396" t="s">
        <v>7439</v>
      </c>
      <c r="F396" t="s">
        <v>7440</v>
      </c>
      <c r="G396" t="s">
        <v>2785</v>
      </c>
      <c r="H396" t="s">
        <v>29</v>
      </c>
      <c r="I396" t="str">
        <f>"62701"</f>
        <v>62701</v>
      </c>
      <c r="J396" t="s">
        <v>63</v>
      </c>
      <c r="K396" t="s">
        <v>64</v>
      </c>
      <c r="L396" s="2">
        <v>18587261</v>
      </c>
      <c r="M396" s="2">
        <v>2713921</v>
      </c>
      <c r="N396" s="2">
        <v>850252</v>
      </c>
      <c r="O396" s="2">
        <v>1584327</v>
      </c>
      <c r="P396" s="2">
        <v>397301</v>
      </c>
      <c r="Q396" s="2">
        <v>78478</v>
      </c>
    </row>
    <row r="397" spans="1:17" x14ac:dyDescent="0.25">
      <c r="A397" t="s">
        <v>7030</v>
      </c>
      <c r="B397" t="s">
        <v>7031</v>
      </c>
      <c r="C397" s="1">
        <v>40909</v>
      </c>
      <c r="D397" s="1">
        <v>41274</v>
      </c>
      <c r="E397" t="s">
        <v>7032</v>
      </c>
      <c r="G397" t="s">
        <v>86</v>
      </c>
      <c r="H397" t="s">
        <v>42</v>
      </c>
      <c r="I397" t="str">
        <f>"53715"</f>
        <v>53715</v>
      </c>
      <c r="J397" t="s">
        <v>63</v>
      </c>
      <c r="K397" t="s">
        <v>79</v>
      </c>
      <c r="L397" s="2">
        <v>18573048</v>
      </c>
      <c r="M397" s="2">
        <v>2280309</v>
      </c>
      <c r="N397" s="2">
        <v>882283</v>
      </c>
      <c r="O397" s="2">
        <v>1314064</v>
      </c>
      <c r="P397" s="2">
        <v>453502</v>
      </c>
      <c r="Q397" s="2">
        <v>379890</v>
      </c>
    </row>
    <row r="398" spans="1:17" x14ac:dyDescent="0.25">
      <c r="A398" t="s">
        <v>5191</v>
      </c>
      <c r="B398" t="s">
        <v>5192</v>
      </c>
      <c r="C398" s="1">
        <v>41275</v>
      </c>
      <c r="D398" s="1">
        <v>41639</v>
      </c>
      <c r="E398" t="s">
        <v>5193</v>
      </c>
      <c r="F398" t="s">
        <v>5194</v>
      </c>
      <c r="G398" t="s">
        <v>5195</v>
      </c>
      <c r="H398" t="s">
        <v>21</v>
      </c>
      <c r="I398" t="str">
        <f>"47240"</f>
        <v>47240</v>
      </c>
      <c r="J398" t="s">
        <v>63</v>
      </c>
      <c r="K398" t="s">
        <v>64</v>
      </c>
      <c r="L398" s="2">
        <v>18483933</v>
      </c>
      <c r="M398" s="2">
        <v>1896442</v>
      </c>
      <c r="N398" s="2">
        <v>472418</v>
      </c>
      <c r="O398" s="2">
        <v>773656</v>
      </c>
      <c r="P398" s="2">
        <v>53240</v>
      </c>
      <c r="Q398" s="2">
        <v>24317</v>
      </c>
    </row>
    <row r="399" spans="1:17" x14ac:dyDescent="0.25">
      <c r="A399" t="s">
        <v>6535</v>
      </c>
      <c r="B399" t="s">
        <v>6536</v>
      </c>
      <c r="C399" s="1">
        <v>41275</v>
      </c>
      <c r="D399" s="1">
        <v>41639</v>
      </c>
      <c r="E399" t="s">
        <v>6537</v>
      </c>
      <c r="G399" t="s">
        <v>337</v>
      </c>
      <c r="H399" t="s">
        <v>62</v>
      </c>
      <c r="I399" t="str">
        <f>"44114"</f>
        <v>44114</v>
      </c>
      <c r="J399" t="s">
        <v>22</v>
      </c>
      <c r="K399" t="s">
        <v>30</v>
      </c>
      <c r="L399" s="2">
        <v>18399940</v>
      </c>
      <c r="M399" s="2">
        <v>4246966</v>
      </c>
      <c r="N399" s="2">
        <v>0</v>
      </c>
      <c r="O399" s="2">
        <v>1183534</v>
      </c>
      <c r="P399" t="s">
        <v>24</v>
      </c>
      <c r="Q399" t="s">
        <v>24</v>
      </c>
    </row>
    <row r="400" spans="1:17" x14ac:dyDescent="0.25">
      <c r="A400" t="s">
        <v>1502</v>
      </c>
      <c r="B400" t="s">
        <v>1503</v>
      </c>
      <c r="C400" s="1">
        <v>41275</v>
      </c>
      <c r="D400" s="1">
        <v>41639</v>
      </c>
      <c r="E400" t="s">
        <v>1504</v>
      </c>
      <c r="G400" t="s">
        <v>167</v>
      </c>
      <c r="H400" t="s">
        <v>62</v>
      </c>
      <c r="I400" t="str">
        <f>"45247"</f>
        <v>45247</v>
      </c>
      <c r="J400" t="s">
        <v>22</v>
      </c>
      <c r="K400" t="s">
        <v>30</v>
      </c>
      <c r="L400" s="2">
        <v>18344505</v>
      </c>
      <c r="M400" s="2">
        <v>2545910</v>
      </c>
      <c r="N400" s="2">
        <v>28294</v>
      </c>
      <c r="O400" s="2">
        <v>509516</v>
      </c>
      <c r="P400" t="s">
        <v>24</v>
      </c>
      <c r="Q400" t="s">
        <v>24</v>
      </c>
    </row>
    <row r="401" spans="1:17" x14ac:dyDescent="0.25">
      <c r="A401" t="s">
        <v>7206</v>
      </c>
      <c r="B401" t="s">
        <v>7207</v>
      </c>
      <c r="C401" s="1">
        <v>41275</v>
      </c>
      <c r="D401" s="1">
        <v>41639</v>
      </c>
      <c r="E401" t="s">
        <v>7208</v>
      </c>
      <c r="G401" t="s">
        <v>4811</v>
      </c>
      <c r="H401" t="s">
        <v>62</v>
      </c>
      <c r="I401" t="str">
        <f>"45750"</f>
        <v>45750</v>
      </c>
      <c r="J401" t="s">
        <v>63</v>
      </c>
      <c r="K401" t="s">
        <v>64</v>
      </c>
      <c r="L401" s="2">
        <v>18285503</v>
      </c>
      <c r="M401" s="2">
        <v>1899618</v>
      </c>
      <c r="N401" s="2">
        <v>4392246</v>
      </c>
      <c r="O401" s="2">
        <v>792943</v>
      </c>
      <c r="P401" s="2">
        <v>215412</v>
      </c>
      <c r="Q401" s="2">
        <v>24320</v>
      </c>
    </row>
    <row r="402" spans="1:17" x14ac:dyDescent="0.25">
      <c r="A402" t="s">
        <v>6123</v>
      </c>
      <c r="B402" t="s">
        <v>6124</v>
      </c>
      <c r="C402" s="1">
        <v>41275</v>
      </c>
      <c r="D402" s="1">
        <v>41639</v>
      </c>
      <c r="E402" t="s">
        <v>6125</v>
      </c>
      <c r="G402" t="s">
        <v>2241</v>
      </c>
      <c r="H402" t="s">
        <v>47</v>
      </c>
      <c r="I402" t="str">
        <f>"48060"</f>
        <v>48060</v>
      </c>
      <c r="J402" t="s">
        <v>22</v>
      </c>
      <c r="K402" t="s">
        <v>30</v>
      </c>
      <c r="L402" s="2">
        <v>18258364</v>
      </c>
      <c r="M402" s="2">
        <v>6447476</v>
      </c>
      <c r="N402" s="2">
        <v>0</v>
      </c>
      <c r="O402" s="2">
        <v>718860</v>
      </c>
      <c r="P402" t="s">
        <v>24</v>
      </c>
      <c r="Q402" t="s">
        <v>24</v>
      </c>
    </row>
    <row r="403" spans="1:17" x14ac:dyDescent="0.25">
      <c r="A403" t="s">
        <v>7042</v>
      </c>
      <c r="B403" t="s">
        <v>7043</v>
      </c>
      <c r="C403" s="1">
        <v>41487</v>
      </c>
      <c r="D403" s="1">
        <v>41851</v>
      </c>
      <c r="E403" t="s">
        <v>7044</v>
      </c>
      <c r="G403" t="s">
        <v>167</v>
      </c>
      <c r="H403" t="s">
        <v>62</v>
      </c>
      <c r="I403" t="str">
        <f>"45208"</f>
        <v>45208</v>
      </c>
      <c r="J403" t="s">
        <v>22</v>
      </c>
      <c r="K403" t="s">
        <v>30</v>
      </c>
      <c r="L403" s="2">
        <v>18255409</v>
      </c>
      <c r="M403" s="2">
        <v>2395760</v>
      </c>
      <c r="N403" s="2">
        <v>0</v>
      </c>
      <c r="O403" s="2">
        <v>870928</v>
      </c>
      <c r="P403" t="s">
        <v>24</v>
      </c>
      <c r="Q403" t="s">
        <v>24</v>
      </c>
    </row>
    <row r="404" spans="1:17" x14ac:dyDescent="0.25">
      <c r="A404" t="s">
        <v>2078</v>
      </c>
      <c r="B404" t="s">
        <v>2079</v>
      </c>
      <c r="C404" s="1">
        <v>41275</v>
      </c>
      <c r="D404" s="1">
        <v>41639</v>
      </c>
      <c r="E404" t="s">
        <v>2080</v>
      </c>
      <c r="G404" t="s">
        <v>2081</v>
      </c>
      <c r="H404" t="s">
        <v>62</v>
      </c>
      <c r="I404" t="str">
        <f>"44870"</f>
        <v>44870</v>
      </c>
      <c r="J404" t="s">
        <v>63</v>
      </c>
      <c r="K404" t="s">
        <v>64</v>
      </c>
      <c r="L404" s="2">
        <v>18213106</v>
      </c>
      <c r="M404" s="2">
        <v>3370608</v>
      </c>
      <c r="N404" s="2">
        <v>3087420</v>
      </c>
      <c r="O404" s="2">
        <v>928905</v>
      </c>
      <c r="P404" s="2">
        <v>89169</v>
      </c>
      <c r="Q404" s="2">
        <v>95668</v>
      </c>
    </row>
    <row r="405" spans="1:17" x14ac:dyDescent="0.25">
      <c r="A405" t="s">
        <v>7214</v>
      </c>
      <c r="B405" t="s">
        <v>7215</v>
      </c>
      <c r="C405" s="1">
        <v>41244</v>
      </c>
      <c r="D405" s="1">
        <v>41608</v>
      </c>
      <c r="E405" t="s">
        <v>7216</v>
      </c>
      <c r="G405" t="s">
        <v>1809</v>
      </c>
      <c r="H405" t="s">
        <v>29</v>
      </c>
      <c r="I405" t="str">
        <f>"60045"</f>
        <v>60045</v>
      </c>
      <c r="J405" t="s">
        <v>22</v>
      </c>
      <c r="K405" t="s">
        <v>30</v>
      </c>
      <c r="L405" s="2">
        <v>18120619</v>
      </c>
      <c r="M405" s="2">
        <v>4317914</v>
      </c>
      <c r="N405" s="2">
        <v>0</v>
      </c>
      <c r="O405" s="2">
        <v>955264</v>
      </c>
      <c r="P405" t="s">
        <v>24</v>
      </c>
      <c r="Q405" t="s">
        <v>24</v>
      </c>
    </row>
    <row r="406" spans="1:17" x14ac:dyDescent="0.25">
      <c r="A406" t="s">
        <v>1415</v>
      </c>
      <c r="B406" t="s">
        <v>1416</v>
      </c>
      <c r="C406" s="1">
        <v>41275</v>
      </c>
      <c r="D406" s="1">
        <v>41639</v>
      </c>
      <c r="E406" t="s">
        <v>1417</v>
      </c>
      <c r="G406" t="s">
        <v>1418</v>
      </c>
      <c r="H406" t="s">
        <v>62</v>
      </c>
      <c r="I406" t="str">
        <f>"44460"</f>
        <v>44460</v>
      </c>
      <c r="J406" t="s">
        <v>63</v>
      </c>
      <c r="K406" t="s">
        <v>64</v>
      </c>
      <c r="L406" s="2">
        <v>18051074</v>
      </c>
      <c r="M406" s="2">
        <v>2531903</v>
      </c>
      <c r="N406" s="2">
        <v>0</v>
      </c>
      <c r="O406" s="2">
        <v>903990</v>
      </c>
      <c r="P406" s="2">
        <v>41608</v>
      </c>
      <c r="Q406" s="2">
        <v>0</v>
      </c>
    </row>
    <row r="407" spans="1:17" x14ac:dyDescent="0.25">
      <c r="A407" t="s">
        <v>5363</v>
      </c>
      <c r="B407" t="s">
        <v>5364</v>
      </c>
      <c r="C407" s="1">
        <v>40909</v>
      </c>
      <c r="D407" s="1">
        <v>41274</v>
      </c>
      <c r="E407" t="s">
        <v>5365</v>
      </c>
      <c r="G407" t="s">
        <v>1745</v>
      </c>
      <c r="H407" t="s">
        <v>47</v>
      </c>
      <c r="I407" t="str">
        <f>"49801"</f>
        <v>49801</v>
      </c>
      <c r="J407" t="s">
        <v>22</v>
      </c>
      <c r="K407" t="s">
        <v>30</v>
      </c>
      <c r="L407" s="2">
        <v>18030688</v>
      </c>
      <c r="M407" s="2">
        <v>21497488</v>
      </c>
      <c r="N407" s="2">
        <v>0</v>
      </c>
      <c r="O407" s="2">
        <v>1485721</v>
      </c>
      <c r="P407" t="s">
        <v>24</v>
      </c>
      <c r="Q407" t="s">
        <v>24</v>
      </c>
    </row>
    <row r="408" spans="1:17" x14ac:dyDescent="0.25">
      <c r="A408" t="s">
        <v>6834</v>
      </c>
      <c r="B408" t="s">
        <v>6835</v>
      </c>
      <c r="C408" s="1">
        <v>41275</v>
      </c>
      <c r="D408" s="1">
        <v>41639</v>
      </c>
      <c r="E408" t="s">
        <v>6836</v>
      </c>
      <c r="F408" t="s">
        <v>6837</v>
      </c>
      <c r="G408" t="s">
        <v>1809</v>
      </c>
      <c r="H408" t="s">
        <v>29</v>
      </c>
      <c r="I408" t="str">
        <f>"60045"</f>
        <v>60045</v>
      </c>
      <c r="J408" t="s">
        <v>22</v>
      </c>
      <c r="K408" t="s">
        <v>23</v>
      </c>
      <c r="L408" s="2">
        <v>17974122</v>
      </c>
      <c r="M408" s="2">
        <v>2566747</v>
      </c>
      <c r="N408" s="2">
        <v>338935</v>
      </c>
      <c r="O408" s="2">
        <v>1494306</v>
      </c>
      <c r="P408" t="s">
        <v>24</v>
      </c>
      <c r="Q408" t="s">
        <v>24</v>
      </c>
    </row>
    <row r="409" spans="1:17" x14ac:dyDescent="0.25">
      <c r="A409" t="s">
        <v>7190</v>
      </c>
      <c r="B409" t="s">
        <v>7191</v>
      </c>
      <c r="C409" s="1">
        <v>41275</v>
      </c>
      <c r="D409" s="1">
        <v>41639</v>
      </c>
      <c r="E409" t="s">
        <v>7192</v>
      </c>
      <c r="G409" t="s">
        <v>307</v>
      </c>
      <c r="H409" t="s">
        <v>29</v>
      </c>
      <c r="I409" t="str">
        <f>"60093"</f>
        <v>60093</v>
      </c>
      <c r="J409" t="s">
        <v>22</v>
      </c>
      <c r="K409" t="s">
        <v>30</v>
      </c>
      <c r="L409" s="2">
        <v>17970604</v>
      </c>
      <c r="M409" s="2">
        <v>2840102</v>
      </c>
      <c r="N409" s="2">
        <v>0</v>
      </c>
      <c r="O409" s="2">
        <v>683542</v>
      </c>
      <c r="P409" t="s">
        <v>24</v>
      </c>
      <c r="Q409" t="s">
        <v>24</v>
      </c>
    </row>
    <row r="410" spans="1:17" x14ac:dyDescent="0.25">
      <c r="A410" t="s">
        <v>7286</v>
      </c>
      <c r="B410" t="s">
        <v>7287</v>
      </c>
      <c r="C410" s="1">
        <v>41275</v>
      </c>
      <c r="D410" s="1">
        <v>41639</v>
      </c>
      <c r="E410" t="s">
        <v>7288</v>
      </c>
      <c r="G410" t="s">
        <v>2014</v>
      </c>
      <c r="H410" t="s">
        <v>21</v>
      </c>
      <c r="I410" t="str">
        <f>"47371"</f>
        <v>47371</v>
      </c>
      <c r="J410" t="s">
        <v>63</v>
      </c>
      <c r="K410" t="s">
        <v>64</v>
      </c>
      <c r="L410" s="2">
        <v>17930278</v>
      </c>
      <c r="M410" s="2">
        <v>2101265</v>
      </c>
      <c r="N410" s="2">
        <v>983501</v>
      </c>
      <c r="O410" s="2">
        <v>556218</v>
      </c>
      <c r="P410" s="2">
        <v>77182</v>
      </c>
      <c r="Q410" s="2">
        <v>0</v>
      </c>
    </row>
    <row r="411" spans="1:17" x14ac:dyDescent="0.25">
      <c r="A411" t="s">
        <v>3067</v>
      </c>
      <c r="B411" t="s">
        <v>3068</v>
      </c>
      <c r="C411" s="1">
        <v>41275</v>
      </c>
      <c r="D411" s="1">
        <v>41639</v>
      </c>
      <c r="E411" t="s">
        <v>3069</v>
      </c>
      <c r="G411" t="s">
        <v>1058</v>
      </c>
      <c r="H411" t="s">
        <v>47</v>
      </c>
      <c r="I411" t="str">
        <f>"49010"</f>
        <v>49010</v>
      </c>
      <c r="J411" t="s">
        <v>63</v>
      </c>
      <c r="K411" t="s">
        <v>64</v>
      </c>
      <c r="L411" s="2">
        <v>17924901</v>
      </c>
      <c r="M411" s="2">
        <v>2841149</v>
      </c>
      <c r="N411" s="2">
        <v>376487</v>
      </c>
      <c r="O411" s="2">
        <v>1042900</v>
      </c>
      <c r="P411" s="2">
        <v>159334</v>
      </c>
      <c r="Q411" s="2">
        <v>61373</v>
      </c>
    </row>
    <row r="412" spans="1:17" x14ac:dyDescent="0.25">
      <c r="A412" t="s">
        <v>6266</v>
      </c>
      <c r="B412" t="s">
        <v>6267</v>
      </c>
      <c r="C412" s="1">
        <v>41518</v>
      </c>
      <c r="D412" s="1">
        <v>41882</v>
      </c>
      <c r="E412" t="s">
        <v>6268</v>
      </c>
      <c r="G412" t="s">
        <v>28</v>
      </c>
      <c r="H412" t="s">
        <v>29</v>
      </c>
      <c r="I412" t="str">
        <f>"60606"</f>
        <v>60606</v>
      </c>
      <c r="J412" t="s">
        <v>22</v>
      </c>
      <c r="K412" t="s">
        <v>23</v>
      </c>
      <c r="L412" s="2">
        <v>17836392</v>
      </c>
      <c r="M412" s="2">
        <v>3575559</v>
      </c>
      <c r="N412" s="2">
        <v>0</v>
      </c>
      <c r="O412" s="2">
        <v>921927</v>
      </c>
      <c r="P412" t="s">
        <v>24</v>
      </c>
      <c r="Q412" t="s">
        <v>24</v>
      </c>
    </row>
    <row r="413" spans="1:17" x14ac:dyDescent="0.25">
      <c r="A413" t="s">
        <v>6684</v>
      </c>
      <c r="B413" t="s">
        <v>6685</v>
      </c>
      <c r="C413" s="1">
        <v>41275</v>
      </c>
      <c r="D413" s="1">
        <v>41639</v>
      </c>
      <c r="E413" t="s">
        <v>6686</v>
      </c>
      <c r="G413" t="s">
        <v>2785</v>
      </c>
      <c r="H413" t="s">
        <v>29</v>
      </c>
      <c r="I413" t="str">
        <f>"62703"</f>
        <v>62703</v>
      </c>
      <c r="J413" t="s">
        <v>22</v>
      </c>
      <c r="K413" t="s">
        <v>23</v>
      </c>
      <c r="L413" s="2">
        <v>17829185</v>
      </c>
      <c r="M413" s="2">
        <v>3688509</v>
      </c>
      <c r="N413" s="2">
        <v>0</v>
      </c>
      <c r="O413" s="2">
        <v>873053</v>
      </c>
      <c r="P413" t="s">
        <v>24</v>
      </c>
      <c r="Q413" t="s">
        <v>24</v>
      </c>
    </row>
    <row r="414" spans="1:17" x14ac:dyDescent="0.25">
      <c r="A414" t="s">
        <v>5855</v>
      </c>
      <c r="B414" t="s">
        <v>5856</v>
      </c>
      <c r="C414" s="1">
        <v>41275</v>
      </c>
      <c r="D414" s="1">
        <v>41639</v>
      </c>
      <c r="E414" t="s">
        <v>5857</v>
      </c>
      <c r="G414" t="s">
        <v>5858</v>
      </c>
      <c r="H414" t="s">
        <v>21</v>
      </c>
      <c r="I414" t="str">
        <f>"47714"</f>
        <v>47714</v>
      </c>
      <c r="J414" t="s">
        <v>22</v>
      </c>
      <c r="K414" t="s">
        <v>23</v>
      </c>
      <c r="L414" s="2">
        <v>17801225</v>
      </c>
      <c r="M414" s="2">
        <v>8968489</v>
      </c>
      <c r="N414" s="2">
        <v>0</v>
      </c>
      <c r="O414" s="2">
        <v>834999</v>
      </c>
      <c r="P414" t="s">
        <v>24</v>
      </c>
      <c r="Q414" t="s">
        <v>24</v>
      </c>
    </row>
    <row r="415" spans="1:17" x14ac:dyDescent="0.25">
      <c r="A415" t="s">
        <v>6665</v>
      </c>
      <c r="B415" t="s">
        <v>6666</v>
      </c>
      <c r="C415" s="1">
        <v>41456</v>
      </c>
      <c r="D415" s="1">
        <v>41820</v>
      </c>
      <c r="E415" t="s">
        <v>6667</v>
      </c>
      <c r="G415" t="s">
        <v>6668</v>
      </c>
      <c r="H415" t="s">
        <v>42</v>
      </c>
      <c r="I415" t="str">
        <f>"54481"</f>
        <v>54481</v>
      </c>
      <c r="J415" t="s">
        <v>63</v>
      </c>
      <c r="K415" t="s">
        <v>64</v>
      </c>
      <c r="L415" s="2">
        <v>17786163</v>
      </c>
      <c r="M415" s="2">
        <v>2404719</v>
      </c>
      <c r="N415" s="2">
        <v>1625986</v>
      </c>
      <c r="O415" s="2">
        <v>1275835</v>
      </c>
      <c r="P415" s="2">
        <v>113995</v>
      </c>
      <c r="Q415" s="2">
        <v>40590</v>
      </c>
    </row>
    <row r="416" spans="1:17" x14ac:dyDescent="0.25">
      <c r="A416" t="s">
        <v>1240</v>
      </c>
      <c r="B416" t="s">
        <v>1241</v>
      </c>
      <c r="C416" s="1">
        <v>40909</v>
      </c>
      <c r="D416" s="1">
        <v>41274</v>
      </c>
      <c r="E416" t="s">
        <v>50</v>
      </c>
      <c r="G416" t="s">
        <v>28</v>
      </c>
      <c r="H416" t="s">
        <v>29</v>
      </c>
      <c r="I416" t="str">
        <f>"60603"</f>
        <v>60603</v>
      </c>
      <c r="J416" t="s">
        <v>22</v>
      </c>
      <c r="K416" t="s">
        <v>23</v>
      </c>
      <c r="L416" s="2">
        <v>17722277</v>
      </c>
      <c r="M416" s="2">
        <v>728668</v>
      </c>
      <c r="N416" s="2">
        <v>0</v>
      </c>
      <c r="O416" s="2">
        <v>730926</v>
      </c>
      <c r="P416" t="s">
        <v>24</v>
      </c>
      <c r="Q416" t="s">
        <v>24</v>
      </c>
    </row>
    <row r="417" spans="1:17" x14ac:dyDescent="0.25">
      <c r="A417" t="s">
        <v>198</v>
      </c>
      <c r="B417" t="s">
        <v>199</v>
      </c>
      <c r="C417" s="1">
        <v>41275</v>
      </c>
      <c r="D417" s="1">
        <v>41639</v>
      </c>
      <c r="E417" t="s">
        <v>200</v>
      </c>
      <c r="F417" t="s">
        <v>201</v>
      </c>
      <c r="G417" t="s">
        <v>202</v>
      </c>
      <c r="H417" t="s">
        <v>62</v>
      </c>
      <c r="I417" t="str">
        <f>"43016"</f>
        <v>43016</v>
      </c>
      <c r="J417" t="s">
        <v>63</v>
      </c>
      <c r="K417" t="s">
        <v>203</v>
      </c>
      <c r="L417" s="2">
        <v>17671929</v>
      </c>
      <c r="M417" s="2">
        <v>3205166</v>
      </c>
      <c r="N417" s="2">
        <v>8749721</v>
      </c>
      <c r="O417" s="2">
        <v>2205418</v>
      </c>
      <c r="P417" s="2">
        <v>557549</v>
      </c>
      <c r="Q417" s="2">
        <v>52466</v>
      </c>
    </row>
    <row r="418" spans="1:17" x14ac:dyDescent="0.25">
      <c r="A418" t="s">
        <v>5426</v>
      </c>
      <c r="B418" t="s">
        <v>5427</v>
      </c>
      <c r="C418" s="1">
        <v>41275</v>
      </c>
      <c r="D418" s="1">
        <v>41639</v>
      </c>
      <c r="E418" t="s">
        <v>1496</v>
      </c>
      <c r="G418" t="s">
        <v>167</v>
      </c>
      <c r="H418" t="s">
        <v>62</v>
      </c>
      <c r="I418" t="str">
        <f>"45263"</f>
        <v>45263</v>
      </c>
      <c r="J418" t="s">
        <v>22</v>
      </c>
      <c r="K418" t="s">
        <v>23</v>
      </c>
      <c r="L418" s="2">
        <v>17616799</v>
      </c>
      <c r="M418" s="2">
        <v>4041916</v>
      </c>
      <c r="N418" s="2">
        <v>0</v>
      </c>
      <c r="O418" s="2">
        <v>756828</v>
      </c>
      <c r="P418" t="s">
        <v>24</v>
      </c>
      <c r="Q418" t="s">
        <v>24</v>
      </c>
    </row>
    <row r="419" spans="1:17" x14ac:dyDescent="0.25">
      <c r="A419" t="s">
        <v>4074</v>
      </c>
      <c r="B419" t="s">
        <v>4075</v>
      </c>
      <c r="C419" s="1">
        <v>41275</v>
      </c>
      <c r="D419" s="1">
        <v>41639</v>
      </c>
      <c r="E419" t="s">
        <v>4076</v>
      </c>
      <c r="G419" t="s">
        <v>68</v>
      </c>
      <c r="H419" t="s">
        <v>29</v>
      </c>
      <c r="I419" t="str">
        <f>"60068"</f>
        <v>60068</v>
      </c>
      <c r="J419" t="s">
        <v>22</v>
      </c>
      <c r="K419" t="s">
        <v>23</v>
      </c>
      <c r="L419" s="2">
        <v>17559296</v>
      </c>
      <c r="M419" s="2">
        <v>1595232</v>
      </c>
      <c r="N419" s="2">
        <v>0</v>
      </c>
      <c r="O419" s="2">
        <v>700247</v>
      </c>
      <c r="P419" t="s">
        <v>24</v>
      </c>
      <c r="Q419" t="s">
        <v>24</v>
      </c>
    </row>
    <row r="420" spans="1:17" x14ac:dyDescent="0.25">
      <c r="A420" t="s">
        <v>6292</v>
      </c>
      <c r="B420" t="s">
        <v>6293</v>
      </c>
      <c r="C420" s="1">
        <v>41518</v>
      </c>
      <c r="D420" s="1">
        <v>41882</v>
      </c>
      <c r="E420" t="s">
        <v>53</v>
      </c>
      <c r="G420" t="s">
        <v>28</v>
      </c>
      <c r="H420" t="s">
        <v>29</v>
      </c>
      <c r="I420" t="str">
        <f>"60603"</f>
        <v>60603</v>
      </c>
      <c r="J420" t="s">
        <v>22</v>
      </c>
      <c r="K420" t="s">
        <v>30</v>
      </c>
      <c r="L420" s="2">
        <v>17557984</v>
      </c>
      <c r="M420" s="2">
        <v>5970506</v>
      </c>
      <c r="N420" s="2">
        <v>0</v>
      </c>
      <c r="O420" s="2">
        <v>860567</v>
      </c>
      <c r="P420" t="s">
        <v>24</v>
      </c>
      <c r="Q420" t="s">
        <v>24</v>
      </c>
    </row>
    <row r="421" spans="1:17" x14ac:dyDescent="0.25">
      <c r="A421" t="s">
        <v>4911</v>
      </c>
      <c r="B421" t="s">
        <v>4912</v>
      </c>
      <c r="C421" s="1">
        <v>41275</v>
      </c>
      <c r="D421" s="1">
        <v>41639</v>
      </c>
      <c r="E421" t="s">
        <v>4913</v>
      </c>
      <c r="G421" t="s">
        <v>659</v>
      </c>
      <c r="H421" t="s">
        <v>47</v>
      </c>
      <c r="I421" t="str">
        <f>"48034"</f>
        <v>48034</v>
      </c>
      <c r="J421" t="s">
        <v>22</v>
      </c>
      <c r="K421" t="s">
        <v>30</v>
      </c>
      <c r="L421" s="2">
        <v>17507980</v>
      </c>
      <c r="M421" s="2">
        <v>9919984</v>
      </c>
      <c r="N421" s="2">
        <v>0</v>
      </c>
      <c r="O421" s="2">
        <v>3971880</v>
      </c>
      <c r="P421" t="s">
        <v>24</v>
      </c>
      <c r="Q421" t="s">
        <v>24</v>
      </c>
    </row>
    <row r="422" spans="1:17" x14ac:dyDescent="0.25">
      <c r="A422" t="s">
        <v>5000</v>
      </c>
      <c r="B422" t="s">
        <v>5001</v>
      </c>
      <c r="C422" s="1">
        <v>41275</v>
      </c>
      <c r="D422" s="1">
        <v>41639</v>
      </c>
      <c r="E422" t="s">
        <v>5002</v>
      </c>
      <c r="G422" t="s">
        <v>167</v>
      </c>
      <c r="H422" t="s">
        <v>62</v>
      </c>
      <c r="I422" t="str">
        <f>"45202"</f>
        <v>45202</v>
      </c>
      <c r="J422" t="s">
        <v>63</v>
      </c>
      <c r="K422" t="s">
        <v>64</v>
      </c>
      <c r="L422" s="2">
        <v>17459226</v>
      </c>
      <c r="M422" s="2">
        <v>4175837</v>
      </c>
      <c r="N422" s="2">
        <v>0</v>
      </c>
      <c r="O422" s="2">
        <v>2293839</v>
      </c>
      <c r="P422" s="2">
        <v>283755</v>
      </c>
      <c r="Q422" s="2">
        <v>0</v>
      </c>
    </row>
    <row r="423" spans="1:17" x14ac:dyDescent="0.25">
      <c r="A423" t="s">
        <v>5109</v>
      </c>
      <c r="B423" t="s">
        <v>5110</v>
      </c>
      <c r="C423" s="1">
        <v>41275</v>
      </c>
      <c r="D423" s="1">
        <v>41639</v>
      </c>
      <c r="E423" t="s">
        <v>5111</v>
      </c>
      <c r="G423" t="s">
        <v>5112</v>
      </c>
      <c r="H423" t="s">
        <v>29</v>
      </c>
      <c r="I423" t="str">
        <f>"60517"</f>
        <v>60517</v>
      </c>
      <c r="J423" t="s">
        <v>22</v>
      </c>
      <c r="K423" t="s">
        <v>30</v>
      </c>
      <c r="L423" s="2">
        <v>17445066</v>
      </c>
      <c r="M423" s="2">
        <v>5532932</v>
      </c>
      <c r="N423" s="2">
        <v>677779</v>
      </c>
      <c r="O423" s="2">
        <v>739522</v>
      </c>
      <c r="P423" t="s">
        <v>24</v>
      </c>
      <c r="Q423" t="s">
        <v>24</v>
      </c>
    </row>
    <row r="424" spans="1:17" x14ac:dyDescent="0.25">
      <c r="A424" t="s">
        <v>6061</v>
      </c>
      <c r="B424" t="s">
        <v>6062</v>
      </c>
      <c r="C424" s="1">
        <v>41275</v>
      </c>
      <c r="D424" s="1">
        <v>41639</v>
      </c>
      <c r="E424" t="s">
        <v>6063</v>
      </c>
      <c r="G424" t="s">
        <v>147</v>
      </c>
      <c r="H424" t="s">
        <v>62</v>
      </c>
      <c r="I424" t="str">
        <f>"44319"</f>
        <v>44319</v>
      </c>
      <c r="J424" t="s">
        <v>63</v>
      </c>
      <c r="K424" t="s">
        <v>23</v>
      </c>
      <c r="L424" s="2">
        <v>17426463</v>
      </c>
      <c r="M424" s="2">
        <v>857254</v>
      </c>
      <c r="N424" s="2">
        <v>22482</v>
      </c>
      <c r="O424" s="2">
        <v>714573</v>
      </c>
      <c r="P424" t="s">
        <v>24</v>
      </c>
      <c r="Q424" t="s">
        <v>24</v>
      </c>
    </row>
    <row r="425" spans="1:17" x14ac:dyDescent="0.25">
      <c r="A425" t="s">
        <v>1586</v>
      </c>
      <c r="B425" t="s">
        <v>1587</v>
      </c>
      <c r="C425" s="1">
        <v>41275</v>
      </c>
      <c r="D425" s="1">
        <v>41639</v>
      </c>
      <c r="E425" t="s">
        <v>1588</v>
      </c>
      <c r="G425" t="s">
        <v>28</v>
      </c>
      <c r="H425" t="s">
        <v>29</v>
      </c>
      <c r="I425" t="str">
        <f>"60603"</f>
        <v>60603</v>
      </c>
      <c r="J425" t="s">
        <v>22</v>
      </c>
      <c r="K425" t="s">
        <v>23</v>
      </c>
      <c r="L425" s="2">
        <v>17354542</v>
      </c>
      <c r="M425" s="2">
        <v>3489137</v>
      </c>
      <c r="N425" s="2">
        <v>0</v>
      </c>
      <c r="O425" s="2">
        <v>1183832</v>
      </c>
      <c r="P425" t="s">
        <v>24</v>
      </c>
      <c r="Q425" t="s">
        <v>24</v>
      </c>
    </row>
    <row r="426" spans="1:17" x14ac:dyDescent="0.25">
      <c r="A426" t="s">
        <v>4775</v>
      </c>
      <c r="B426" t="s">
        <v>4776</v>
      </c>
      <c r="C426" s="1">
        <v>41275</v>
      </c>
      <c r="D426" s="1">
        <v>41639</v>
      </c>
      <c r="E426" t="s">
        <v>4777</v>
      </c>
      <c r="G426" t="s">
        <v>3689</v>
      </c>
      <c r="H426" t="s">
        <v>62</v>
      </c>
      <c r="I426" t="str">
        <f>"43952"</f>
        <v>43952</v>
      </c>
      <c r="J426" t="s">
        <v>63</v>
      </c>
      <c r="K426" t="s">
        <v>30</v>
      </c>
      <c r="L426" s="2">
        <v>17290926</v>
      </c>
      <c r="M426" s="2">
        <v>1560387</v>
      </c>
      <c r="N426" s="2">
        <v>9089</v>
      </c>
      <c r="O426" s="2">
        <v>451995</v>
      </c>
      <c r="P426" s="2">
        <v>1495</v>
      </c>
      <c r="Q426" s="2">
        <v>0</v>
      </c>
    </row>
    <row r="427" spans="1:17" x14ac:dyDescent="0.25">
      <c r="A427" t="s">
        <v>7533</v>
      </c>
      <c r="B427" t="s">
        <v>7534</v>
      </c>
      <c r="C427" s="1">
        <v>41275</v>
      </c>
      <c r="D427" s="1">
        <v>41639</v>
      </c>
      <c r="E427" t="s">
        <v>104</v>
      </c>
      <c r="G427" t="s">
        <v>28</v>
      </c>
      <c r="H427" t="s">
        <v>29</v>
      </c>
      <c r="I427" t="str">
        <f>"60680"</f>
        <v>60680</v>
      </c>
      <c r="J427" t="s">
        <v>22</v>
      </c>
      <c r="K427" t="s">
        <v>30</v>
      </c>
      <c r="L427" s="2">
        <v>17234377</v>
      </c>
      <c r="M427" s="2">
        <v>3472358</v>
      </c>
      <c r="N427" s="2">
        <v>0</v>
      </c>
      <c r="O427" s="2">
        <v>1777671</v>
      </c>
      <c r="P427" t="s">
        <v>24</v>
      </c>
      <c r="Q427" t="s">
        <v>24</v>
      </c>
    </row>
    <row r="428" spans="1:17" x14ac:dyDescent="0.25">
      <c r="A428" t="s">
        <v>7708</v>
      </c>
      <c r="B428" t="s">
        <v>7709</v>
      </c>
      <c r="C428" s="1">
        <v>41487</v>
      </c>
      <c r="D428" s="1">
        <v>41851</v>
      </c>
      <c r="E428" t="s">
        <v>104</v>
      </c>
      <c r="G428" t="s">
        <v>28</v>
      </c>
      <c r="H428" t="s">
        <v>29</v>
      </c>
      <c r="I428" t="str">
        <f>"60680"</f>
        <v>60680</v>
      </c>
      <c r="J428" t="s">
        <v>22</v>
      </c>
      <c r="K428" t="s">
        <v>30</v>
      </c>
      <c r="L428" s="2">
        <v>17197463</v>
      </c>
      <c r="M428" s="2">
        <v>1122126</v>
      </c>
      <c r="N428" s="2">
        <v>0</v>
      </c>
      <c r="O428" s="2">
        <v>777773</v>
      </c>
      <c r="P428" t="s">
        <v>24</v>
      </c>
      <c r="Q428" t="s">
        <v>24</v>
      </c>
    </row>
    <row r="429" spans="1:17" x14ac:dyDescent="0.25">
      <c r="A429" t="s">
        <v>6424</v>
      </c>
      <c r="B429" t="s">
        <v>6425</v>
      </c>
      <c r="C429" s="1">
        <v>41275</v>
      </c>
      <c r="D429" s="1">
        <v>41639</v>
      </c>
      <c r="E429" t="s">
        <v>702</v>
      </c>
      <c r="G429" t="s">
        <v>28</v>
      </c>
      <c r="H429" t="s">
        <v>29</v>
      </c>
      <c r="I429" t="str">
        <f>"60603"</f>
        <v>60603</v>
      </c>
      <c r="J429" t="s">
        <v>22</v>
      </c>
      <c r="K429" t="s">
        <v>30</v>
      </c>
      <c r="L429" s="2">
        <v>17179836</v>
      </c>
      <c r="M429" s="2">
        <v>2570392</v>
      </c>
      <c r="N429" s="2">
        <v>0</v>
      </c>
      <c r="O429" s="2">
        <v>408363</v>
      </c>
      <c r="P429" t="s">
        <v>24</v>
      </c>
      <c r="Q429" t="s">
        <v>24</v>
      </c>
    </row>
    <row r="430" spans="1:17" x14ac:dyDescent="0.25">
      <c r="A430" t="s">
        <v>6605</v>
      </c>
      <c r="B430" t="s">
        <v>6606</v>
      </c>
      <c r="C430" s="1">
        <v>41275</v>
      </c>
      <c r="D430" s="1">
        <v>41639</v>
      </c>
      <c r="E430" t="s">
        <v>1027</v>
      </c>
      <c r="G430" t="s">
        <v>1028</v>
      </c>
      <c r="H430" t="s">
        <v>47</v>
      </c>
      <c r="I430" t="str">
        <f>"48104"</f>
        <v>48104</v>
      </c>
      <c r="J430" t="s">
        <v>22</v>
      </c>
      <c r="K430" t="s">
        <v>23</v>
      </c>
      <c r="L430" s="2">
        <v>17140707</v>
      </c>
      <c r="M430" s="2">
        <v>1651165</v>
      </c>
      <c r="N430" s="2">
        <v>52742</v>
      </c>
      <c r="O430" s="2">
        <v>941439</v>
      </c>
      <c r="P430" t="s">
        <v>24</v>
      </c>
      <c r="Q430" t="s">
        <v>24</v>
      </c>
    </row>
    <row r="431" spans="1:17" x14ac:dyDescent="0.25">
      <c r="A431" t="s">
        <v>7468</v>
      </c>
      <c r="B431" t="s">
        <v>7469</v>
      </c>
      <c r="C431" s="1">
        <v>41275</v>
      </c>
      <c r="D431" s="1">
        <v>41639</v>
      </c>
      <c r="E431" t="s">
        <v>2772</v>
      </c>
      <c r="G431" t="s">
        <v>28</v>
      </c>
      <c r="H431" t="s">
        <v>29</v>
      </c>
      <c r="I431" t="str">
        <f>"60603"</f>
        <v>60603</v>
      </c>
      <c r="J431" t="s">
        <v>22</v>
      </c>
      <c r="K431" t="s">
        <v>30</v>
      </c>
      <c r="L431" s="2">
        <v>17093112</v>
      </c>
      <c r="M431" s="2">
        <v>6619307</v>
      </c>
      <c r="N431" s="2">
        <v>0</v>
      </c>
      <c r="O431" s="2">
        <v>410284</v>
      </c>
      <c r="P431" t="s">
        <v>24</v>
      </c>
      <c r="Q431" t="s">
        <v>24</v>
      </c>
    </row>
    <row r="432" spans="1:17" x14ac:dyDescent="0.25">
      <c r="A432" t="s">
        <v>7590</v>
      </c>
      <c r="B432" t="s">
        <v>7591</v>
      </c>
      <c r="C432" s="1">
        <v>41275</v>
      </c>
      <c r="D432" s="1">
        <v>41639</v>
      </c>
      <c r="E432" t="s">
        <v>7592</v>
      </c>
      <c r="G432" t="s">
        <v>1339</v>
      </c>
      <c r="H432" t="s">
        <v>47</v>
      </c>
      <c r="I432" t="str">
        <f>"48098"</f>
        <v>48098</v>
      </c>
      <c r="J432" t="s">
        <v>22</v>
      </c>
      <c r="K432" t="s">
        <v>91</v>
      </c>
      <c r="L432" s="2">
        <v>17084959</v>
      </c>
      <c r="M432" s="2">
        <v>17483965</v>
      </c>
      <c r="N432" s="2">
        <v>81828</v>
      </c>
      <c r="O432" s="2">
        <v>1036652</v>
      </c>
      <c r="P432" t="s">
        <v>24</v>
      </c>
      <c r="Q432" t="s">
        <v>24</v>
      </c>
    </row>
    <row r="433" spans="1:17" x14ac:dyDescent="0.25">
      <c r="A433" t="s">
        <v>5159</v>
      </c>
      <c r="B433" t="s">
        <v>5160</v>
      </c>
      <c r="C433" s="1">
        <v>41275</v>
      </c>
      <c r="D433" s="1">
        <v>41639</v>
      </c>
      <c r="E433" t="s">
        <v>5161</v>
      </c>
      <c r="G433" t="s">
        <v>167</v>
      </c>
      <c r="H433" t="s">
        <v>62</v>
      </c>
      <c r="I433" t="str">
        <f>"45202"</f>
        <v>45202</v>
      </c>
      <c r="J433" t="s">
        <v>22</v>
      </c>
      <c r="K433" t="s">
        <v>23</v>
      </c>
      <c r="L433" s="2">
        <v>17036729</v>
      </c>
      <c r="M433" s="2">
        <v>8629843</v>
      </c>
      <c r="N433" s="2">
        <v>0</v>
      </c>
      <c r="O433" s="2">
        <v>2451679</v>
      </c>
      <c r="P433" t="s">
        <v>24</v>
      </c>
      <c r="Q433" t="s">
        <v>24</v>
      </c>
    </row>
    <row r="434" spans="1:17" x14ac:dyDescent="0.25">
      <c r="A434" t="s">
        <v>2400</v>
      </c>
      <c r="B434" t="s">
        <v>2401</v>
      </c>
      <c r="C434" s="1">
        <v>41275</v>
      </c>
      <c r="D434" s="1">
        <v>41639</v>
      </c>
      <c r="E434" t="s">
        <v>2402</v>
      </c>
      <c r="G434" t="s">
        <v>28</v>
      </c>
      <c r="H434" t="s">
        <v>29</v>
      </c>
      <c r="I434" t="str">
        <f>"60614"</f>
        <v>60614</v>
      </c>
      <c r="J434" t="s">
        <v>22</v>
      </c>
      <c r="K434" t="s">
        <v>23</v>
      </c>
      <c r="L434" s="2">
        <v>17020427</v>
      </c>
      <c r="M434" s="2">
        <v>1010105</v>
      </c>
      <c r="N434" s="2">
        <v>40500</v>
      </c>
      <c r="O434" s="2">
        <v>679925</v>
      </c>
      <c r="P434" t="s">
        <v>24</v>
      </c>
      <c r="Q434" t="s">
        <v>24</v>
      </c>
    </row>
    <row r="435" spans="1:17" x14ac:dyDescent="0.25">
      <c r="A435" t="s">
        <v>6288</v>
      </c>
      <c r="B435" t="s">
        <v>6289</v>
      </c>
      <c r="C435" s="1">
        <v>41456</v>
      </c>
      <c r="D435" s="1">
        <v>41820</v>
      </c>
      <c r="E435" t="s">
        <v>6290</v>
      </c>
      <c r="G435" t="s">
        <v>6291</v>
      </c>
      <c r="H435" t="s">
        <v>42</v>
      </c>
      <c r="I435" t="str">
        <f>"54115"</f>
        <v>54115</v>
      </c>
      <c r="J435" t="s">
        <v>22</v>
      </c>
      <c r="K435" t="s">
        <v>30</v>
      </c>
      <c r="L435" s="2">
        <v>17002434</v>
      </c>
      <c r="M435" s="2">
        <v>9362601</v>
      </c>
      <c r="N435" s="2">
        <v>0</v>
      </c>
      <c r="O435" s="2">
        <v>594082</v>
      </c>
      <c r="P435" t="s">
        <v>24</v>
      </c>
      <c r="Q435" t="s">
        <v>24</v>
      </c>
    </row>
    <row r="436" spans="1:17" x14ac:dyDescent="0.25">
      <c r="A436" t="s">
        <v>5646</v>
      </c>
      <c r="B436" t="s">
        <v>5647</v>
      </c>
      <c r="C436" s="1">
        <v>41153</v>
      </c>
      <c r="D436" s="1">
        <v>41517</v>
      </c>
      <c r="E436" t="s">
        <v>5648</v>
      </c>
      <c r="G436" t="s">
        <v>3187</v>
      </c>
      <c r="H436" t="s">
        <v>62</v>
      </c>
      <c r="I436" t="str">
        <f>"43055"</f>
        <v>43055</v>
      </c>
      <c r="J436" t="s">
        <v>63</v>
      </c>
      <c r="K436" t="s">
        <v>30</v>
      </c>
      <c r="L436" s="2">
        <v>16864488</v>
      </c>
      <c r="M436" s="2">
        <v>895879</v>
      </c>
      <c r="N436" s="2">
        <v>0</v>
      </c>
      <c r="O436" s="2">
        <v>398782</v>
      </c>
      <c r="P436" s="2">
        <v>101282</v>
      </c>
      <c r="Q436" s="2">
        <v>0</v>
      </c>
    </row>
    <row r="437" spans="1:17" x14ac:dyDescent="0.25">
      <c r="A437" t="s">
        <v>7323</v>
      </c>
      <c r="B437" t="s">
        <v>7324</v>
      </c>
      <c r="C437" s="1">
        <v>41275</v>
      </c>
      <c r="D437" s="1">
        <v>41639</v>
      </c>
      <c r="E437" t="s">
        <v>7325</v>
      </c>
      <c r="G437" t="s">
        <v>28</v>
      </c>
      <c r="H437" t="s">
        <v>29</v>
      </c>
      <c r="I437" t="str">
        <f>"60603"</f>
        <v>60603</v>
      </c>
      <c r="J437" t="s">
        <v>22</v>
      </c>
      <c r="K437" t="s">
        <v>23</v>
      </c>
      <c r="L437" s="2">
        <v>16851507</v>
      </c>
      <c r="M437" s="2">
        <v>7202287</v>
      </c>
      <c r="N437" s="2">
        <v>0</v>
      </c>
      <c r="O437" s="2">
        <v>3004509</v>
      </c>
      <c r="P437" t="s">
        <v>24</v>
      </c>
      <c r="Q437" t="s">
        <v>24</v>
      </c>
    </row>
    <row r="438" spans="1:17" x14ac:dyDescent="0.25">
      <c r="A438" t="s">
        <v>5861</v>
      </c>
      <c r="B438" t="s">
        <v>5862</v>
      </c>
      <c r="C438" s="1">
        <v>41275</v>
      </c>
      <c r="D438" s="1">
        <v>41639</v>
      </c>
      <c r="E438" t="s">
        <v>163</v>
      </c>
      <c r="G438" t="s">
        <v>28</v>
      </c>
      <c r="H438" t="s">
        <v>29</v>
      </c>
      <c r="I438" t="str">
        <f>"60603"</f>
        <v>60603</v>
      </c>
      <c r="J438" t="s">
        <v>22</v>
      </c>
      <c r="K438" t="s">
        <v>91</v>
      </c>
      <c r="L438" s="2">
        <v>16851296</v>
      </c>
      <c r="M438" s="2">
        <v>1101602</v>
      </c>
      <c r="N438" s="2">
        <v>0</v>
      </c>
      <c r="O438" s="2">
        <v>480366</v>
      </c>
      <c r="P438" t="s">
        <v>24</v>
      </c>
      <c r="Q438" t="s">
        <v>24</v>
      </c>
    </row>
    <row r="439" spans="1:17" x14ac:dyDescent="0.25">
      <c r="A439" t="s">
        <v>3085</v>
      </c>
      <c r="B439" t="s">
        <v>3086</v>
      </c>
      <c r="C439" s="1">
        <v>41275</v>
      </c>
      <c r="D439" s="1">
        <v>41639</v>
      </c>
      <c r="E439" t="s">
        <v>3087</v>
      </c>
      <c r="G439" t="s">
        <v>3088</v>
      </c>
      <c r="H439" t="s">
        <v>21</v>
      </c>
      <c r="I439" t="str">
        <f>"46947"</f>
        <v>46947</v>
      </c>
      <c r="J439" t="s">
        <v>63</v>
      </c>
      <c r="K439" t="s">
        <v>64</v>
      </c>
      <c r="L439" s="2">
        <v>16690901</v>
      </c>
      <c r="M439" s="2">
        <v>2064856</v>
      </c>
      <c r="N439" s="2">
        <v>960897</v>
      </c>
      <c r="O439" s="2">
        <v>792164</v>
      </c>
      <c r="P439" s="2">
        <v>56133</v>
      </c>
      <c r="Q439" s="2">
        <v>70285</v>
      </c>
    </row>
    <row r="440" spans="1:17" x14ac:dyDescent="0.25">
      <c r="A440" t="s">
        <v>7508</v>
      </c>
      <c r="B440" t="s">
        <v>7509</v>
      </c>
      <c r="C440" s="1">
        <v>41306</v>
      </c>
      <c r="D440" s="1">
        <v>41670</v>
      </c>
      <c r="E440" t="s">
        <v>668</v>
      </c>
      <c r="G440" t="s">
        <v>28</v>
      </c>
      <c r="H440" t="s">
        <v>29</v>
      </c>
      <c r="I440" t="str">
        <f>"60606"</f>
        <v>60606</v>
      </c>
      <c r="J440" t="s">
        <v>22</v>
      </c>
      <c r="K440" t="s">
        <v>30</v>
      </c>
      <c r="L440" s="2">
        <v>16653476</v>
      </c>
      <c r="M440" s="2">
        <v>311067</v>
      </c>
      <c r="N440" s="2">
        <v>0</v>
      </c>
      <c r="O440" s="2">
        <v>7831646</v>
      </c>
      <c r="P440" t="s">
        <v>24</v>
      </c>
      <c r="Q440" t="s">
        <v>24</v>
      </c>
    </row>
    <row r="441" spans="1:17" x14ac:dyDescent="0.25">
      <c r="A441" t="s">
        <v>5986</v>
      </c>
      <c r="B441" t="s">
        <v>5987</v>
      </c>
      <c r="C441" s="1">
        <v>41275</v>
      </c>
      <c r="D441" s="1">
        <v>41639</v>
      </c>
      <c r="E441" t="s">
        <v>5988</v>
      </c>
      <c r="G441" t="s">
        <v>291</v>
      </c>
      <c r="H441" t="s">
        <v>21</v>
      </c>
      <c r="I441" t="str">
        <f>"47025"</f>
        <v>47025</v>
      </c>
      <c r="J441" t="s">
        <v>63</v>
      </c>
      <c r="K441" t="s">
        <v>64</v>
      </c>
      <c r="L441" s="2">
        <v>16628760</v>
      </c>
      <c r="M441" s="2">
        <v>5211613</v>
      </c>
      <c r="N441" s="2">
        <v>7827538</v>
      </c>
      <c r="O441" s="2">
        <v>3892513</v>
      </c>
      <c r="P441" s="2">
        <v>69743</v>
      </c>
      <c r="Q441" s="2">
        <v>121254</v>
      </c>
    </row>
    <row r="442" spans="1:17" x14ac:dyDescent="0.25">
      <c r="A442" t="s">
        <v>4766</v>
      </c>
      <c r="B442" t="s">
        <v>4767</v>
      </c>
      <c r="C442" s="1">
        <v>41275</v>
      </c>
      <c r="D442" s="1">
        <v>41639</v>
      </c>
      <c r="E442" t="s">
        <v>4768</v>
      </c>
      <c r="G442" t="s">
        <v>819</v>
      </c>
      <c r="H442" t="s">
        <v>21</v>
      </c>
      <c r="I442" t="str">
        <f>"46016"</f>
        <v>46016</v>
      </c>
      <c r="J442" t="s">
        <v>63</v>
      </c>
      <c r="K442" t="s">
        <v>64</v>
      </c>
      <c r="L442" s="2">
        <v>16569570</v>
      </c>
      <c r="M442" s="2">
        <v>1798220</v>
      </c>
      <c r="N442" s="2">
        <v>2668807</v>
      </c>
      <c r="O442" s="2">
        <v>1380420</v>
      </c>
      <c r="P442" s="2">
        <v>545804</v>
      </c>
      <c r="Q442" s="2">
        <v>0</v>
      </c>
    </row>
    <row r="443" spans="1:17" x14ac:dyDescent="0.25">
      <c r="A443" t="s">
        <v>1494</v>
      </c>
      <c r="B443" t="s">
        <v>1495</v>
      </c>
      <c r="C443" s="1">
        <v>40909</v>
      </c>
      <c r="D443" s="1">
        <v>41274</v>
      </c>
      <c r="E443" t="s">
        <v>1496</v>
      </c>
      <c r="G443" t="s">
        <v>167</v>
      </c>
      <c r="H443" t="s">
        <v>62</v>
      </c>
      <c r="I443" t="str">
        <f>"45263"</f>
        <v>45263</v>
      </c>
      <c r="J443" t="s">
        <v>22</v>
      </c>
      <c r="K443" t="s">
        <v>23</v>
      </c>
      <c r="L443" s="2">
        <v>16563317</v>
      </c>
      <c r="M443" s="2">
        <v>12787845</v>
      </c>
      <c r="N443" s="2">
        <v>0</v>
      </c>
      <c r="O443" s="2">
        <v>780427</v>
      </c>
      <c r="P443" t="s">
        <v>24</v>
      </c>
      <c r="Q443" t="s">
        <v>24</v>
      </c>
    </row>
    <row r="444" spans="1:17" x14ac:dyDescent="0.25">
      <c r="A444" t="s">
        <v>4828</v>
      </c>
      <c r="B444" t="s">
        <v>4829</v>
      </c>
      <c r="C444" s="1">
        <v>41153</v>
      </c>
      <c r="D444" s="1">
        <v>41517</v>
      </c>
      <c r="E444" t="s">
        <v>4830</v>
      </c>
      <c r="F444" t="s">
        <v>4831</v>
      </c>
      <c r="G444" t="s">
        <v>41</v>
      </c>
      <c r="H444" t="s">
        <v>42</v>
      </c>
      <c r="I444" t="str">
        <f>"53202"</f>
        <v>53202</v>
      </c>
      <c r="J444" t="s">
        <v>22</v>
      </c>
      <c r="K444" t="s">
        <v>30</v>
      </c>
      <c r="L444" s="2">
        <v>16554789</v>
      </c>
      <c r="M444" s="2">
        <v>20621983</v>
      </c>
      <c r="N444" s="2">
        <v>0</v>
      </c>
      <c r="O444" s="2">
        <v>13080315</v>
      </c>
      <c r="P444" t="s">
        <v>24</v>
      </c>
      <c r="Q444" t="s">
        <v>24</v>
      </c>
    </row>
    <row r="445" spans="1:17" x14ac:dyDescent="0.25">
      <c r="A445" t="s">
        <v>2760</v>
      </c>
      <c r="B445" t="s">
        <v>2761</v>
      </c>
      <c r="C445" s="1">
        <v>41275</v>
      </c>
      <c r="D445" s="1">
        <v>41639</v>
      </c>
      <c r="E445" t="s">
        <v>2762</v>
      </c>
      <c r="G445" t="s">
        <v>357</v>
      </c>
      <c r="H445" t="s">
        <v>21</v>
      </c>
      <c r="I445" t="str">
        <f>"46804"</f>
        <v>46804</v>
      </c>
      <c r="J445" t="s">
        <v>22</v>
      </c>
      <c r="K445" t="s">
        <v>30</v>
      </c>
      <c r="L445" s="2">
        <v>16537571</v>
      </c>
      <c r="M445" s="2">
        <v>8867323</v>
      </c>
      <c r="N445" s="2">
        <v>0</v>
      </c>
      <c r="O445" s="2">
        <v>800460</v>
      </c>
      <c r="P445" t="s">
        <v>24</v>
      </c>
      <c r="Q445" t="s">
        <v>24</v>
      </c>
    </row>
    <row r="446" spans="1:17" x14ac:dyDescent="0.25">
      <c r="A446" t="s">
        <v>7119</v>
      </c>
      <c r="B446" t="s">
        <v>7120</v>
      </c>
      <c r="C446" s="1">
        <v>41275</v>
      </c>
      <c r="D446" s="1">
        <v>41639</v>
      </c>
      <c r="E446" t="s">
        <v>7121</v>
      </c>
      <c r="G446" t="s">
        <v>28</v>
      </c>
      <c r="H446" t="s">
        <v>29</v>
      </c>
      <c r="I446" t="str">
        <f>"60603"</f>
        <v>60603</v>
      </c>
      <c r="J446" t="s">
        <v>22</v>
      </c>
      <c r="K446" t="s">
        <v>30</v>
      </c>
      <c r="L446" s="2">
        <v>16519944</v>
      </c>
      <c r="M446" s="2">
        <v>3844743</v>
      </c>
      <c r="N446" s="2">
        <v>0</v>
      </c>
      <c r="O446" s="2">
        <v>854135</v>
      </c>
      <c r="P446" t="s">
        <v>24</v>
      </c>
      <c r="Q446" t="s">
        <v>24</v>
      </c>
    </row>
    <row r="447" spans="1:17" x14ac:dyDescent="0.25">
      <c r="A447" t="s">
        <v>3668</v>
      </c>
      <c r="B447" t="s">
        <v>3669</v>
      </c>
      <c r="C447" s="1">
        <v>41275</v>
      </c>
      <c r="D447" s="1">
        <v>41639</v>
      </c>
      <c r="E447" t="s">
        <v>3670</v>
      </c>
      <c r="G447" t="s">
        <v>3671</v>
      </c>
      <c r="H447" t="s">
        <v>78</v>
      </c>
      <c r="I447" t="str">
        <f>"42501"</f>
        <v>42501</v>
      </c>
      <c r="J447" t="s">
        <v>22</v>
      </c>
      <c r="K447" t="s">
        <v>23</v>
      </c>
      <c r="L447" s="2">
        <v>16266469</v>
      </c>
      <c r="M447" s="2">
        <v>1396309</v>
      </c>
      <c r="N447" s="2">
        <v>0</v>
      </c>
      <c r="O447" s="2">
        <v>796519</v>
      </c>
      <c r="P447" t="s">
        <v>24</v>
      </c>
      <c r="Q447" t="s">
        <v>24</v>
      </c>
    </row>
    <row r="448" spans="1:17" x14ac:dyDescent="0.25">
      <c r="A448" t="s">
        <v>1606</v>
      </c>
      <c r="B448" t="s">
        <v>1607</v>
      </c>
      <c r="C448" s="1">
        <v>40909</v>
      </c>
      <c r="D448" s="1">
        <v>41274</v>
      </c>
      <c r="E448" t="s">
        <v>1608</v>
      </c>
      <c r="G448" t="s">
        <v>28</v>
      </c>
      <c r="H448" t="s">
        <v>29</v>
      </c>
      <c r="I448" t="str">
        <f>"60604"</f>
        <v>60604</v>
      </c>
      <c r="J448" t="s">
        <v>22</v>
      </c>
      <c r="K448" t="s">
        <v>23</v>
      </c>
      <c r="L448" s="2">
        <v>16192035</v>
      </c>
      <c r="M448" s="2">
        <v>664118</v>
      </c>
      <c r="N448" s="2">
        <v>0</v>
      </c>
      <c r="O448" s="2">
        <v>887731</v>
      </c>
      <c r="P448" t="s">
        <v>24</v>
      </c>
      <c r="Q448" t="s">
        <v>24</v>
      </c>
    </row>
    <row r="449" spans="1:17" x14ac:dyDescent="0.25">
      <c r="A449" t="s">
        <v>2753</v>
      </c>
      <c r="B449" t="s">
        <v>2754</v>
      </c>
      <c r="C449" s="1">
        <v>41275</v>
      </c>
      <c r="D449" s="1">
        <v>41639</v>
      </c>
      <c r="E449" t="s">
        <v>2755</v>
      </c>
      <c r="G449" t="s">
        <v>353</v>
      </c>
      <c r="H449" t="s">
        <v>62</v>
      </c>
      <c r="I449" t="str">
        <f>"43204"</f>
        <v>43204</v>
      </c>
      <c r="J449" t="s">
        <v>22</v>
      </c>
      <c r="K449" t="s">
        <v>23</v>
      </c>
      <c r="L449" s="2">
        <v>16159581</v>
      </c>
      <c r="M449" s="2">
        <v>4956366</v>
      </c>
      <c r="N449" s="2">
        <v>90616</v>
      </c>
      <c r="O449" s="2">
        <v>920846</v>
      </c>
      <c r="P449" t="s">
        <v>24</v>
      </c>
      <c r="Q449" t="s">
        <v>24</v>
      </c>
    </row>
    <row r="450" spans="1:17" x14ac:dyDescent="0.25">
      <c r="A450" t="s">
        <v>3580</v>
      </c>
      <c r="B450" t="s">
        <v>3581</v>
      </c>
      <c r="C450" s="1">
        <v>41275</v>
      </c>
      <c r="D450" s="1">
        <v>41639</v>
      </c>
      <c r="E450" t="s">
        <v>3582</v>
      </c>
      <c r="G450" t="s">
        <v>311</v>
      </c>
      <c r="H450" t="s">
        <v>21</v>
      </c>
      <c r="I450" t="str">
        <f>"46545"</f>
        <v>46545</v>
      </c>
      <c r="J450" t="s">
        <v>22</v>
      </c>
      <c r="K450" t="s">
        <v>23</v>
      </c>
      <c r="L450" s="2">
        <v>16079757</v>
      </c>
      <c r="M450" s="2">
        <v>5362886</v>
      </c>
      <c r="N450" s="2">
        <v>0</v>
      </c>
      <c r="O450" s="2">
        <v>1099822</v>
      </c>
      <c r="P450" t="s">
        <v>24</v>
      </c>
      <c r="Q450" t="s">
        <v>24</v>
      </c>
    </row>
    <row r="451" spans="1:17" x14ac:dyDescent="0.25">
      <c r="A451" t="s">
        <v>4997</v>
      </c>
      <c r="B451" t="s">
        <v>4998</v>
      </c>
      <c r="C451" s="1">
        <v>41275</v>
      </c>
      <c r="D451" s="1">
        <v>41639</v>
      </c>
      <c r="E451" t="s">
        <v>4999</v>
      </c>
      <c r="G451" t="s">
        <v>1028</v>
      </c>
      <c r="H451" t="s">
        <v>47</v>
      </c>
      <c r="I451" t="str">
        <f>"48103"</f>
        <v>48103</v>
      </c>
      <c r="J451" t="s">
        <v>22</v>
      </c>
      <c r="K451" t="s">
        <v>23</v>
      </c>
      <c r="L451" s="2">
        <v>16079025</v>
      </c>
      <c r="M451" s="2">
        <v>3034447</v>
      </c>
      <c r="N451" s="2">
        <v>6713</v>
      </c>
      <c r="O451" s="2">
        <v>872904</v>
      </c>
      <c r="P451" t="s">
        <v>24</v>
      </c>
      <c r="Q451" t="s">
        <v>24</v>
      </c>
    </row>
    <row r="452" spans="1:17" x14ac:dyDescent="0.25">
      <c r="A452" t="s">
        <v>765</v>
      </c>
      <c r="B452" t="s">
        <v>766</v>
      </c>
      <c r="C452" s="1">
        <v>41091</v>
      </c>
      <c r="D452" s="1">
        <v>41455</v>
      </c>
      <c r="E452" t="s">
        <v>767</v>
      </c>
      <c r="G452" t="s">
        <v>768</v>
      </c>
      <c r="H452" t="s">
        <v>62</v>
      </c>
      <c r="I452" t="str">
        <f>"44122"</f>
        <v>44122</v>
      </c>
      <c r="J452" t="s">
        <v>63</v>
      </c>
      <c r="K452" t="s">
        <v>79</v>
      </c>
      <c r="L452" s="2">
        <v>16077799</v>
      </c>
      <c r="M452" s="2">
        <v>1608034</v>
      </c>
      <c r="N452" s="2">
        <v>613494</v>
      </c>
      <c r="O452" s="2">
        <v>1224524</v>
      </c>
      <c r="P452" s="2">
        <v>215681</v>
      </c>
      <c r="Q452" s="2">
        <v>110373</v>
      </c>
    </row>
    <row r="453" spans="1:17" x14ac:dyDescent="0.25">
      <c r="A453" t="s">
        <v>2053</v>
      </c>
      <c r="B453" t="s">
        <v>2054</v>
      </c>
      <c r="C453" s="1">
        <v>41214</v>
      </c>
      <c r="D453" s="1">
        <v>41578</v>
      </c>
      <c r="E453" t="s">
        <v>2055</v>
      </c>
      <c r="G453" t="s">
        <v>2056</v>
      </c>
      <c r="H453" t="s">
        <v>29</v>
      </c>
      <c r="I453" t="str">
        <f>"60462"</f>
        <v>60462</v>
      </c>
      <c r="J453" t="s">
        <v>22</v>
      </c>
      <c r="K453" t="s">
        <v>30</v>
      </c>
      <c r="L453" s="2">
        <v>16044346</v>
      </c>
      <c r="M453" s="2">
        <v>436059</v>
      </c>
      <c r="N453" s="2">
        <v>0</v>
      </c>
      <c r="O453" s="2">
        <v>636940</v>
      </c>
      <c r="P453" t="s">
        <v>24</v>
      </c>
      <c r="Q453" t="s">
        <v>24</v>
      </c>
    </row>
    <row r="454" spans="1:17" x14ac:dyDescent="0.25">
      <c r="A454" t="s">
        <v>6704</v>
      </c>
      <c r="B454" t="s">
        <v>6705</v>
      </c>
      <c r="C454" s="1">
        <v>41275</v>
      </c>
      <c r="D454" s="1">
        <v>41639</v>
      </c>
      <c r="E454" t="s">
        <v>6706</v>
      </c>
      <c r="G454" t="s">
        <v>167</v>
      </c>
      <c r="H454" t="s">
        <v>62</v>
      </c>
      <c r="I454" t="str">
        <f>"45227"</f>
        <v>45227</v>
      </c>
      <c r="J454" t="s">
        <v>22</v>
      </c>
      <c r="K454" t="s">
        <v>23</v>
      </c>
      <c r="L454" s="2">
        <v>15960993</v>
      </c>
      <c r="M454" s="2">
        <v>3503064</v>
      </c>
      <c r="N454" s="2">
        <v>0</v>
      </c>
      <c r="O454" s="2">
        <v>1615978</v>
      </c>
      <c r="P454" t="s">
        <v>24</v>
      </c>
      <c r="Q454" t="s">
        <v>24</v>
      </c>
    </row>
    <row r="455" spans="1:17" x14ac:dyDescent="0.25">
      <c r="A455" t="s">
        <v>5038</v>
      </c>
      <c r="B455" t="s">
        <v>5039</v>
      </c>
      <c r="C455" s="1">
        <v>41275</v>
      </c>
      <c r="D455" s="1">
        <v>41639</v>
      </c>
      <c r="E455" t="s">
        <v>1013</v>
      </c>
      <c r="G455" t="s">
        <v>5040</v>
      </c>
      <c r="H455" t="s">
        <v>21</v>
      </c>
      <c r="I455" t="str">
        <f>"47978"</f>
        <v>47978</v>
      </c>
      <c r="J455" t="s">
        <v>63</v>
      </c>
      <c r="K455" t="s">
        <v>64</v>
      </c>
      <c r="L455" s="2">
        <v>15894522</v>
      </c>
      <c r="M455" s="2">
        <v>1264252</v>
      </c>
      <c r="N455" s="2">
        <v>162904</v>
      </c>
      <c r="O455" s="2">
        <v>647482</v>
      </c>
      <c r="P455" s="2">
        <v>99243</v>
      </c>
      <c r="Q455" s="2">
        <v>40957</v>
      </c>
    </row>
    <row r="456" spans="1:17" x14ac:dyDescent="0.25">
      <c r="A456" t="s">
        <v>5903</v>
      </c>
      <c r="B456" t="s">
        <v>5904</v>
      </c>
      <c r="C456" s="1">
        <v>41275</v>
      </c>
      <c r="D456" s="1">
        <v>41639</v>
      </c>
      <c r="E456" t="s">
        <v>5905</v>
      </c>
      <c r="G456" t="s">
        <v>987</v>
      </c>
      <c r="H456" t="s">
        <v>47</v>
      </c>
      <c r="I456" t="str">
        <f>"48012"</f>
        <v>48012</v>
      </c>
      <c r="J456" t="s">
        <v>22</v>
      </c>
      <c r="K456" t="s">
        <v>23</v>
      </c>
      <c r="L456" s="2">
        <v>15864555</v>
      </c>
      <c r="M456" s="2">
        <v>5242301</v>
      </c>
      <c r="N456" s="2">
        <v>15974</v>
      </c>
      <c r="O456" s="2">
        <v>986771</v>
      </c>
      <c r="P456" t="s">
        <v>24</v>
      </c>
      <c r="Q456" t="s">
        <v>24</v>
      </c>
    </row>
    <row r="457" spans="1:17" x14ac:dyDescent="0.25">
      <c r="A457" t="s">
        <v>3586</v>
      </c>
      <c r="B457" t="s">
        <v>3587</v>
      </c>
      <c r="C457" s="1">
        <v>41275</v>
      </c>
      <c r="D457" s="1">
        <v>41639</v>
      </c>
      <c r="E457" t="s">
        <v>3588</v>
      </c>
      <c r="G457" t="s">
        <v>3589</v>
      </c>
      <c r="H457" t="s">
        <v>29</v>
      </c>
      <c r="I457" t="str">
        <f>"61462"</f>
        <v>61462</v>
      </c>
      <c r="J457" t="s">
        <v>22</v>
      </c>
      <c r="K457" t="s">
        <v>30</v>
      </c>
      <c r="L457" s="2">
        <v>15759515</v>
      </c>
      <c r="M457" s="2">
        <v>7236050</v>
      </c>
      <c r="N457" s="2">
        <v>0</v>
      </c>
      <c r="O457" s="2">
        <v>964769</v>
      </c>
      <c r="P457" t="s">
        <v>24</v>
      </c>
      <c r="Q457" t="s">
        <v>24</v>
      </c>
    </row>
    <row r="458" spans="1:17" x14ac:dyDescent="0.25">
      <c r="A458" t="s">
        <v>3914</v>
      </c>
      <c r="B458" t="s">
        <v>3915</v>
      </c>
      <c r="C458" s="1">
        <v>41275</v>
      </c>
      <c r="D458" s="1">
        <v>41639</v>
      </c>
      <c r="E458" t="s">
        <v>3916</v>
      </c>
      <c r="F458" t="s">
        <v>3917</v>
      </c>
      <c r="G458" t="s">
        <v>77</v>
      </c>
      <c r="H458" t="s">
        <v>78</v>
      </c>
      <c r="I458" t="str">
        <f>"40299"</f>
        <v>40299</v>
      </c>
      <c r="J458" t="s">
        <v>63</v>
      </c>
      <c r="K458" t="s">
        <v>30</v>
      </c>
      <c r="L458" s="2">
        <v>15755284</v>
      </c>
      <c r="M458" s="2">
        <v>3294834</v>
      </c>
      <c r="N458" s="2">
        <v>862349</v>
      </c>
      <c r="O458" s="2">
        <v>2708999</v>
      </c>
      <c r="P458" s="2">
        <v>1219148</v>
      </c>
      <c r="Q458" s="2">
        <v>134381</v>
      </c>
    </row>
    <row r="459" spans="1:17" x14ac:dyDescent="0.25">
      <c r="A459" t="s">
        <v>7176</v>
      </c>
      <c r="B459" t="s">
        <v>7177</v>
      </c>
      <c r="C459" s="1">
        <v>41275</v>
      </c>
      <c r="D459" s="1">
        <v>41639</v>
      </c>
      <c r="E459" t="s">
        <v>7178</v>
      </c>
      <c r="G459" t="s">
        <v>2785</v>
      </c>
      <c r="H459" t="s">
        <v>29</v>
      </c>
      <c r="I459" t="str">
        <f>"62703"</f>
        <v>62703</v>
      </c>
      <c r="J459" t="s">
        <v>22</v>
      </c>
      <c r="K459" t="s">
        <v>23</v>
      </c>
      <c r="L459" s="2">
        <v>15742404</v>
      </c>
      <c r="M459" s="2">
        <v>2125252</v>
      </c>
      <c r="N459" s="2">
        <v>0</v>
      </c>
      <c r="O459" s="2">
        <v>1076482</v>
      </c>
      <c r="P459" t="s">
        <v>24</v>
      </c>
      <c r="Q459" t="s">
        <v>24</v>
      </c>
    </row>
    <row r="460" spans="1:17" x14ac:dyDescent="0.25">
      <c r="A460" t="s">
        <v>1569</v>
      </c>
      <c r="B460" t="s">
        <v>1570</v>
      </c>
      <c r="C460" s="1">
        <v>41275</v>
      </c>
      <c r="D460" s="1">
        <v>41639</v>
      </c>
      <c r="E460" t="s">
        <v>1571</v>
      </c>
      <c r="G460" t="s">
        <v>143</v>
      </c>
      <c r="H460" t="s">
        <v>47</v>
      </c>
      <c r="I460" t="str">
        <f>"48226"</f>
        <v>48226</v>
      </c>
      <c r="J460" t="s">
        <v>63</v>
      </c>
      <c r="K460" t="s">
        <v>79</v>
      </c>
      <c r="L460" s="2">
        <v>15735506</v>
      </c>
      <c r="M460" s="2">
        <v>1226203</v>
      </c>
      <c r="N460" s="2">
        <v>0</v>
      </c>
      <c r="O460" s="2">
        <v>799409</v>
      </c>
      <c r="P460" s="2">
        <v>33665</v>
      </c>
      <c r="Q460" s="2">
        <v>0</v>
      </c>
    </row>
    <row r="461" spans="1:17" x14ac:dyDescent="0.25">
      <c r="A461" t="s">
        <v>1234</v>
      </c>
      <c r="B461" t="s">
        <v>1235</v>
      </c>
      <c r="C461" s="1">
        <v>40909</v>
      </c>
      <c r="D461" s="1">
        <v>41274</v>
      </c>
      <c r="E461" t="s">
        <v>1236</v>
      </c>
      <c r="G461" t="s">
        <v>28</v>
      </c>
      <c r="H461" t="s">
        <v>29</v>
      </c>
      <c r="I461" t="str">
        <f>"60606"</f>
        <v>60606</v>
      </c>
      <c r="J461" t="s">
        <v>22</v>
      </c>
      <c r="K461" t="s">
        <v>23</v>
      </c>
      <c r="L461" s="2">
        <v>15714944</v>
      </c>
      <c r="M461" s="2">
        <v>1848971</v>
      </c>
      <c r="N461" s="2">
        <v>963381</v>
      </c>
      <c r="O461" s="2">
        <v>3142655</v>
      </c>
      <c r="P461" t="s">
        <v>24</v>
      </c>
      <c r="Q461" t="s">
        <v>24</v>
      </c>
    </row>
    <row r="462" spans="1:17" x14ac:dyDescent="0.25">
      <c r="A462" t="s">
        <v>6930</v>
      </c>
      <c r="B462" t="s">
        <v>6931</v>
      </c>
      <c r="C462" s="1">
        <v>41275</v>
      </c>
      <c r="D462" s="1">
        <v>41639</v>
      </c>
      <c r="E462" t="s">
        <v>6932</v>
      </c>
      <c r="G462" t="s">
        <v>1339</v>
      </c>
      <c r="H462" t="s">
        <v>62</v>
      </c>
      <c r="I462" t="str">
        <f>"45373"</f>
        <v>45373</v>
      </c>
      <c r="J462" t="s">
        <v>63</v>
      </c>
      <c r="K462" t="s">
        <v>23</v>
      </c>
      <c r="L462" s="2">
        <v>15575454</v>
      </c>
      <c r="M462" s="2">
        <v>1781065</v>
      </c>
      <c r="N462" s="2">
        <v>21428</v>
      </c>
      <c r="O462" s="2">
        <v>251032</v>
      </c>
      <c r="P462" s="2">
        <v>72418</v>
      </c>
      <c r="Q462" s="2">
        <v>0</v>
      </c>
    </row>
    <row r="463" spans="1:17" x14ac:dyDescent="0.25">
      <c r="A463" t="s">
        <v>3980</v>
      </c>
      <c r="B463" t="s">
        <v>3981</v>
      </c>
      <c r="C463" s="1">
        <v>41456</v>
      </c>
      <c r="D463" s="1">
        <v>41639</v>
      </c>
      <c r="E463" t="s">
        <v>3982</v>
      </c>
      <c r="G463" t="s">
        <v>324</v>
      </c>
      <c r="H463" t="s">
        <v>62</v>
      </c>
      <c r="I463" t="str">
        <f>"44857"</f>
        <v>44857</v>
      </c>
      <c r="J463" t="s">
        <v>22</v>
      </c>
      <c r="K463" t="s">
        <v>30</v>
      </c>
      <c r="L463" s="2">
        <v>15569270</v>
      </c>
      <c r="M463" s="2">
        <v>10270526</v>
      </c>
      <c r="N463" s="2">
        <v>0</v>
      </c>
      <c r="O463" s="2">
        <v>519143</v>
      </c>
      <c r="P463" t="s">
        <v>24</v>
      </c>
      <c r="Q463" t="s">
        <v>24</v>
      </c>
    </row>
    <row r="464" spans="1:17" x14ac:dyDescent="0.25">
      <c r="A464" t="s">
        <v>123</v>
      </c>
      <c r="B464" t="s">
        <v>124</v>
      </c>
      <c r="C464" s="1">
        <v>41579</v>
      </c>
      <c r="D464" s="1">
        <v>41943</v>
      </c>
      <c r="E464" t="s">
        <v>104</v>
      </c>
      <c r="G464" t="s">
        <v>28</v>
      </c>
      <c r="H464" t="s">
        <v>29</v>
      </c>
      <c r="I464" t="str">
        <f>"60680"</f>
        <v>60680</v>
      </c>
      <c r="J464" t="s">
        <v>22</v>
      </c>
      <c r="K464" t="s">
        <v>30</v>
      </c>
      <c r="L464" s="2">
        <v>15503275</v>
      </c>
      <c r="M464" s="2">
        <v>4483550</v>
      </c>
      <c r="N464" s="2">
        <v>0</v>
      </c>
      <c r="O464" s="2">
        <v>1093532</v>
      </c>
      <c r="P464" t="s">
        <v>24</v>
      </c>
      <c r="Q464" t="s">
        <v>24</v>
      </c>
    </row>
    <row r="465" spans="1:17" x14ac:dyDescent="0.25">
      <c r="A465" t="s">
        <v>3239</v>
      </c>
      <c r="B465" t="s">
        <v>3240</v>
      </c>
      <c r="C465" s="1">
        <v>41275</v>
      </c>
      <c r="D465" s="1">
        <v>41639</v>
      </c>
      <c r="E465" t="s">
        <v>3241</v>
      </c>
      <c r="G465" t="s">
        <v>28</v>
      </c>
      <c r="H465" t="s">
        <v>29</v>
      </c>
      <c r="I465" t="str">
        <f>"60657"</f>
        <v>60657</v>
      </c>
      <c r="J465" t="s">
        <v>22</v>
      </c>
      <c r="K465" t="s">
        <v>23</v>
      </c>
      <c r="L465" s="2">
        <v>15502495</v>
      </c>
      <c r="M465" s="2">
        <v>2069146</v>
      </c>
      <c r="N465" s="2">
        <v>0</v>
      </c>
      <c r="O465" s="2">
        <v>711700</v>
      </c>
      <c r="P465" t="s">
        <v>24</v>
      </c>
      <c r="Q465" t="s">
        <v>24</v>
      </c>
    </row>
    <row r="466" spans="1:17" x14ac:dyDescent="0.25">
      <c r="A466" t="s">
        <v>4003</v>
      </c>
      <c r="B466" t="s">
        <v>4004</v>
      </c>
      <c r="C466" s="1">
        <v>41275</v>
      </c>
      <c r="D466" s="1">
        <v>41639</v>
      </c>
      <c r="E466" t="s">
        <v>4005</v>
      </c>
      <c r="G466" t="s">
        <v>4006</v>
      </c>
      <c r="H466" t="s">
        <v>21</v>
      </c>
      <c r="I466" t="str">
        <f>"47112"</f>
        <v>47112</v>
      </c>
      <c r="J466" t="s">
        <v>63</v>
      </c>
      <c r="K466" t="s">
        <v>64</v>
      </c>
      <c r="L466" s="2">
        <v>15466643</v>
      </c>
      <c r="M466" s="2">
        <v>4345244</v>
      </c>
      <c r="N466" s="2">
        <v>0</v>
      </c>
      <c r="O466" s="2">
        <v>1371669</v>
      </c>
      <c r="P466" s="2">
        <v>242791</v>
      </c>
      <c r="Q466" s="2">
        <v>78478</v>
      </c>
    </row>
    <row r="467" spans="1:17" x14ac:dyDescent="0.25">
      <c r="A467" t="s">
        <v>3399</v>
      </c>
      <c r="B467" t="s">
        <v>3400</v>
      </c>
      <c r="C467" s="1">
        <v>41275</v>
      </c>
      <c r="D467" s="1">
        <v>41639</v>
      </c>
      <c r="E467" t="s">
        <v>3401</v>
      </c>
      <c r="F467" t="s">
        <v>3402</v>
      </c>
      <c r="G467" t="s">
        <v>3403</v>
      </c>
      <c r="H467" t="s">
        <v>62</v>
      </c>
      <c r="I467" t="str">
        <f>"45764"</f>
        <v>45764</v>
      </c>
      <c r="J467" t="s">
        <v>63</v>
      </c>
      <c r="K467" t="s">
        <v>64</v>
      </c>
      <c r="L467" s="2">
        <v>15449963</v>
      </c>
      <c r="M467" s="2">
        <v>4039637</v>
      </c>
      <c r="N467" s="2">
        <v>1866477</v>
      </c>
      <c r="O467" s="2">
        <v>1718493</v>
      </c>
      <c r="P467" s="2">
        <v>569564</v>
      </c>
      <c r="Q467" s="2">
        <v>151168</v>
      </c>
    </row>
    <row r="468" spans="1:17" x14ac:dyDescent="0.25">
      <c r="A468" t="s">
        <v>6901</v>
      </c>
      <c r="B468" t="s">
        <v>6902</v>
      </c>
      <c r="C468" s="1">
        <v>41518</v>
      </c>
      <c r="D468" s="1">
        <v>41547</v>
      </c>
      <c r="E468" t="s">
        <v>6903</v>
      </c>
      <c r="G468" t="s">
        <v>6904</v>
      </c>
      <c r="H468" t="s">
        <v>29</v>
      </c>
      <c r="I468" t="str">
        <f>"60417"</f>
        <v>60417</v>
      </c>
      <c r="J468" t="s">
        <v>63</v>
      </c>
      <c r="K468" t="s">
        <v>23</v>
      </c>
      <c r="L468" s="2">
        <v>15444365</v>
      </c>
      <c r="M468" s="2">
        <v>15920</v>
      </c>
      <c r="N468" s="2">
        <v>4373520</v>
      </c>
      <c r="O468" s="2">
        <v>37310</v>
      </c>
      <c r="P468" s="2">
        <v>7207</v>
      </c>
      <c r="Q468" s="2">
        <v>6718</v>
      </c>
    </row>
    <row r="469" spans="1:17" x14ac:dyDescent="0.25">
      <c r="A469" t="s">
        <v>7518</v>
      </c>
      <c r="B469" t="s">
        <v>7519</v>
      </c>
      <c r="C469" s="1">
        <v>41334</v>
      </c>
      <c r="D469" s="1">
        <v>41698</v>
      </c>
      <c r="E469" t="s">
        <v>7520</v>
      </c>
      <c r="G469" t="s">
        <v>2785</v>
      </c>
      <c r="H469" t="s">
        <v>62</v>
      </c>
      <c r="I469" t="str">
        <f>"45501"</f>
        <v>45501</v>
      </c>
      <c r="J469" t="s">
        <v>22</v>
      </c>
      <c r="K469" t="s">
        <v>23</v>
      </c>
      <c r="L469" s="2">
        <v>15409328</v>
      </c>
      <c r="M469" s="2">
        <v>3117511</v>
      </c>
      <c r="N469" s="2">
        <v>0</v>
      </c>
      <c r="O469" s="2">
        <v>611306</v>
      </c>
      <c r="P469" t="s">
        <v>24</v>
      </c>
      <c r="Q469" t="s">
        <v>24</v>
      </c>
    </row>
    <row r="470" spans="1:17" x14ac:dyDescent="0.25">
      <c r="A470" t="s">
        <v>4143</v>
      </c>
      <c r="B470" t="s">
        <v>4144</v>
      </c>
      <c r="C470" s="1">
        <v>41275</v>
      </c>
      <c r="D470" s="1">
        <v>41639</v>
      </c>
      <c r="E470" t="s">
        <v>4145</v>
      </c>
      <c r="G470" t="s">
        <v>139</v>
      </c>
      <c r="H470" t="s">
        <v>47</v>
      </c>
      <c r="I470" t="str">
        <f>"49503"</f>
        <v>49503</v>
      </c>
      <c r="J470" t="s">
        <v>22</v>
      </c>
      <c r="K470" t="s">
        <v>23</v>
      </c>
      <c r="L470" s="2">
        <v>15319473</v>
      </c>
      <c r="M470" s="2">
        <v>1865956</v>
      </c>
      <c r="N470" s="2">
        <v>0</v>
      </c>
      <c r="O470" s="2">
        <v>693096</v>
      </c>
      <c r="P470" t="s">
        <v>24</v>
      </c>
      <c r="Q470" t="s">
        <v>24</v>
      </c>
    </row>
    <row r="471" spans="1:17" x14ac:dyDescent="0.25">
      <c r="A471" t="s">
        <v>5661</v>
      </c>
      <c r="B471" t="s">
        <v>5662</v>
      </c>
      <c r="C471" s="1">
        <v>41275</v>
      </c>
      <c r="D471" s="1">
        <v>41639</v>
      </c>
      <c r="E471" t="s">
        <v>5663</v>
      </c>
      <c r="G471" t="s">
        <v>627</v>
      </c>
      <c r="H471" t="s">
        <v>29</v>
      </c>
      <c r="I471" t="str">
        <f>"60201"</f>
        <v>60201</v>
      </c>
      <c r="J471" t="s">
        <v>63</v>
      </c>
      <c r="K471" t="s">
        <v>79</v>
      </c>
      <c r="L471" s="2">
        <v>15176193</v>
      </c>
      <c r="M471" s="2">
        <v>1023755</v>
      </c>
      <c r="N471" s="2">
        <v>0</v>
      </c>
      <c r="O471" s="2">
        <v>1114364</v>
      </c>
      <c r="P471" s="2">
        <v>17064</v>
      </c>
      <c r="Q471" t="s">
        <v>24</v>
      </c>
    </row>
    <row r="472" spans="1:17" x14ac:dyDescent="0.25">
      <c r="A472" t="s">
        <v>6408</v>
      </c>
      <c r="B472" t="s">
        <v>6409</v>
      </c>
      <c r="C472" s="1">
        <v>41183</v>
      </c>
      <c r="D472" s="1">
        <v>41547</v>
      </c>
      <c r="E472" t="s">
        <v>6410</v>
      </c>
      <c r="G472" t="s">
        <v>741</v>
      </c>
      <c r="H472" t="s">
        <v>42</v>
      </c>
      <c r="I472" t="str">
        <f>"54305"</f>
        <v>54305</v>
      </c>
      <c r="J472" t="s">
        <v>22</v>
      </c>
      <c r="K472" t="s">
        <v>30</v>
      </c>
      <c r="L472" s="2">
        <v>15131151</v>
      </c>
      <c r="M472" s="2">
        <v>879160</v>
      </c>
      <c r="N472" s="2">
        <v>0</v>
      </c>
      <c r="O472" s="2">
        <v>667235</v>
      </c>
      <c r="P472" t="s">
        <v>24</v>
      </c>
      <c r="Q472" t="s">
        <v>24</v>
      </c>
    </row>
    <row r="473" spans="1:17" x14ac:dyDescent="0.25">
      <c r="A473" t="s">
        <v>4778</v>
      </c>
      <c r="B473" t="s">
        <v>4779</v>
      </c>
      <c r="C473" s="1">
        <v>41275</v>
      </c>
      <c r="D473" s="1">
        <v>41639</v>
      </c>
      <c r="E473" t="s">
        <v>4780</v>
      </c>
      <c r="G473" t="s">
        <v>4781</v>
      </c>
      <c r="H473" t="s">
        <v>62</v>
      </c>
      <c r="I473" t="str">
        <f>"44883"</f>
        <v>44883</v>
      </c>
      <c r="J473" t="s">
        <v>22</v>
      </c>
      <c r="K473" t="s">
        <v>23</v>
      </c>
      <c r="L473" s="2">
        <v>15089753</v>
      </c>
      <c r="M473" s="2">
        <v>8042325</v>
      </c>
      <c r="N473" s="2">
        <v>1571206</v>
      </c>
      <c r="O473" s="2">
        <v>706859</v>
      </c>
      <c r="P473" t="s">
        <v>24</v>
      </c>
      <c r="Q473" t="s">
        <v>24</v>
      </c>
    </row>
    <row r="474" spans="1:17" x14ac:dyDescent="0.25">
      <c r="A474" t="s">
        <v>6313</v>
      </c>
      <c r="B474" t="s">
        <v>6314</v>
      </c>
      <c r="C474" s="1">
        <v>41518</v>
      </c>
      <c r="D474" s="1">
        <v>41882</v>
      </c>
      <c r="E474" t="s">
        <v>6315</v>
      </c>
      <c r="G474" t="s">
        <v>6312</v>
      </c>
      <c r="H474" t="s">
        <v>29</v>
      </c>
      <c r="I474" t="str">
        <f>"61832"</f>
        <v>61832</v>
      </c>
      <c r="J474" t="s">
        <v>22</v>
      </c>
      <c r="K474" t="s">
        <v>30</v>
      </c>
      <c r="L474" s="2">
        <v>15085559</v>
      </c>
      <c r="M474" s="2">
        <v>1463241</v>
      </c>
      <c r="N474" s="2">
        <v>474502</v>
      </c>
      <c r="O474" s="2">
        <v>1060493</v>
      </c>
      <c r="P474" t="s">
        <v>24</v>
      </c>
      <c r="Q474" t="s">
        <v>24</v>
      </c>
    </row>
    <row r="475" spans="1:17" x14ac:dyDescent="0.25">
      <c r="A475" t="s">
        <v>6848</v>
      </c>
      <c r="B475" t="s">
        <v>6849</v>
      </c>
      <c r="C475" s="1">
        <v>41275</v>
      </c>
      <c r="D475" s="1">
        <v>41639</v>
      </c>
      <c r="E475" t="s">
        <v>478</v>
      </c>
      <c r="G475" t="s">
        <v>479</v>
      </c>
      <c r="H475" t="s">
        <v>47</v>
      </c>
      <c r="I475" t="str">
        <f>"49203"</f>
        <v>49203</v>
      </c>
      <c r="J475" t="s">
        <v>22</v>
      </c>
      <c r="K475" t="s">
        <v>30</v>
      </c>
      <c r="L475" s="2">
        <v>15064993</v>
      </c>
      <c r="M475" s="2">
        <v>1023955</v>
      </c>
      <c r="N475" s="2">
        <v>0</v>
      </c>
      <c r="O475" s="2">
        <v>490357</v>
      </c>
      <c r="P475" t="s">
        <v>24</v>
      </c>
      <c r="Q475" t="s">
        <v>24</v>
      </c>
    </row>
    <row r="476" spans="1:17" x14ac:dyDescent="0.25">
      <c r="A476" t="s">
        <v>6880</v>
      </c>
      <c r="B476" t="s">
        <v>6881</v>
      </c>
      <c r="C476" s="1">
        <v>41275</v>
      </c>
      <c r="D476" s="1">
        <v>41639</v>
      </c>
      <c r="E476" t="s">
        <v>6882</v>
      </c>
      <c r="G476" t="s">
        <v>1189</v>
      </c>
      <c r="H476" t="s">
        <v>29</v>
      </c>
      <c r="I476" t="str">
        <f>"60521"</f>
        <v>60521</v>
      </c>
      <c r="J476" t="s">
        <v>22</v>
      </c>
      <c r="K476" t="s">
        <v>23</v>
      </c>
      <c r="L476" s="2">
        <v>15015444</v>
      </c>
      <c r="M476" s="2">
        <v>3690346</v>
      </c>
      <c r="N476" s="2">
        <v>0</v>
      </c>
      <c r="O476" s="2">
        <v>607322</v>
      </c>
      <c r="P476" t="s">
        <v>24</v>
      </c>
      <c r="Q476" t="s">
        <v>24</v>
      </c>
    </row>
    <row r="477" spans="1:17" x14ac:dyDescent="0.25">
      <c r="A477" t="s">
        <v>2899</v>
      </c>
      <c r="B477" t="s">
        <v>2900</v>
      </c>
      <c r="C477" s="1">
        <v>41275</v>
      </c>
      <c r="D477" s="1">
        <v>41639</v>
      </c>
      <c r="E477" t="s">
        <v>50</v>
      </c>
      <c r="G477" t="s">
        <v>28</v>
      </c>
      <c r="H477" t="s">
        <v>29</v>
      </c>
      <c r="I477" t="str">
        <f>"60603"</f>
        <v>60603</v>
      </c>
      <c r="J477" t="s">
        <v>22</v>
      </c>
      <c r="K477" t="s">
        <v>23</v>
      </c>
      <c r="L477" s="2">
        <v>14941748</v>
      </c>
      <c r="M477" s="2">
        <v>4685615</v>
      </c>
      <c r="N477" s="2">
        <v>0</v>
      </c>
      <c r="O477" s="2">
        <v>709772</v>
      </c>
      <c r="P477" t="s">
        <v>24</v>
      </c>
      <c r="Q477" t="s">
        <v>24</v>
      </c>
    </row>
    <row r="478" spans="1:17" x14ac:dyDescent="0.25">
      <c r="A478" t="s">
        <v>881</v>
      </c>
      <c r="B478" t="s">
        <v>882</v>
      </c>
      <c r="C478" s="1">
        <v>41275</v>
      </c>
      <c r="D478" s="1">
        <v>41639</v>
      </c>
      <c r="E478" t="s">
        <v>883</v>
      </c>
      <c r="G478" t="s">
        <v>28</v>
      </c>
      <c r="H478" t="s">
        <v>29</v>
      </c>
      <c r="I478" t="str">
        <f>"60606"</f>
        <v>60606</v>
      </c>
      <c r="J478" t="s">
        <v>22</v>
      </c>
      <c r="K478" t="s">
        <v>30</v>
      </c>
      <c r="L478" s="2">
        <v>14905104</v>
      </c>
      <c r="M478" s="2">
        <v>6458314</v>
      </c>
      <c r="N478" s="2">
        <v>0</v>
      </c>
      <c r="O478" s="2">
        <v>4534773</v>
      </c>
      <c r="P478" t="s">
        <v>24</v>
      </c>
      <c r="Q478" t="s">
        <v>24</v>
      </c>
    </row>
    <row r="479" spans="1:17" x14ac:dyDescent="0.25">
      <c r="A479" t="s">
        <v>7196</v>
      </c>
      <c r="B479" t="s">
        <v>7197</v>
      </c>
      <c r="C479" s="1">
        <v>41275</v>
      </c>
      <c r="D479" s="1">
        <v>41639</v>
      </c>
      <c r="E479" t="s">
        <v>7198</v>
      </c>
      <c r="G479" t="s">
        <v>7199</v>
      </c>
      <c r="H479" t="s">
        <v>62</v>
      </c>
      <c r="I479" t="str">
        <f>"44255"</f>
        <v>44255</v>
      </c>
      <c r="J479" t="s">
        <v>63</v>
      </c>
      <c r="K479" t="s">
        <v>79</v>
      </c>
      <c r="L479" s="2">
        <v>14896131</v>
      </c>
      <c r="M479" s="2">
        <v>2283702</v>
      </c>
      <c r="N479" s="2">
        <v>108677</v>
      </c>
      <c r="O479" s="2">
        <v>2028215</v>
      </c>
      <c r="P479" s="2">
        <v>325234</v>
      </c>
      <c r="Q479" s="2">
        <v>555031</v>
      </c>
    </row>
    <row r="480" spans="1:17" x14ac:dyDescent="0.25">
      <c r="A480" t="s">
        <v>1419</v>
      </c>
      <c r="B480" t="s">
        <v>1420</v>
      </c>
      <c r="C480" s="1">
        <v>41548</v>
      </c>
      <c r="D480" s="1">
        <v>41912</v>
      </c>
      <c r="E480" t="s">
        <v>1421</v>
      </c>
      <c r="G480" t="s">
        <v>1422</v>
      </c>
      <c r="H480" t="s">
        <v>62</v>
      </c>
      <c r="I480" t="str">
        <f>"44601"</f>
        <v>44601</v>
      </c>
      <c r="J480" t="s">
        <v>63</v>
      </c>
      <c r="K480" t="s">
        <v>79</v>
      </c>
      <c r="L480" s="2">
        <v>14847576</v>
      </c>
      <c r="M480" s="2">
        <v>2574721</v>
      </c>
      <c r="N480" s="2">
        <v>3674781</v>
      </c>
      <c r="O480" s="2">
        <v>955492</v>
      </c>
      <c r="P480" s="2">
        <v>104137</v>
      </c>
      <c r="Q480" s="2">
        <v>13464</v>
      </c>
    </row>
    <row r="481" spans="1:17" x14ac:dyDescent="0.25">
      <c r="A481" t="s">
        <v>4181</v>
      </c>
      <c r="B481" t="s">
        <v>4182</v>
      </c>
      <c r="C481" s="1">
        <v>41183</v>
      </c>
      <c r="D481" s="1">
        <v>41455</v>
      </c>
      <c r="E481" t="s">
        <v>4183</v>
      </c>
      <c r="G481" t="s">
        <v>4184</v>
      </c>
      <c r="H481" t="s">
        <v>42</v>
      </c>
      <c r="I481" t="str">
        <f>"54568"</f>
        <v>54568</v>
      </c>
      <c r="J481" t="s">
        <v>63</v>
      </c>
      <c r="K481" t="s">
        <v>30</v>
      </c>
      <c r="L481" s="2">
        <v>14841401</v>
      </c>
      <c r="M481" s="2">
        <v>3343700</v>
      </c>
      <c r="N481" s="2">
        <v>798560</v>
      </c>
      <c r="O481" s="2">
        <v>976192</v>
      </c>
      <c r="P481" s="2">
        <v>208559</v>
      </c>
      <c r="Q481" s="2">
        <v>389609</v>
      </c>
    </row>
    <row r="482" spans="1:17" x14ac:dyDescent="0.25">
      <c r="A482" t="s">
        <v>2756</v>
      </c>
      <c r="B482" t="s">
        <v>2757</v>
      </c>
      <c r="C482" s="1">
        <v>41273</v>
      </c>
      <c r="D482" s="1">
        <v>41636</v>
      </c>
      <c r="E482" t="s">
        <v>2758</v>
      </c>
      <c r="G482" t="s">
        <v>2759</v>
      </c>
      <c r="H482" t="s">
        <v>29</v>
      </c>
      <c r="I482" t="str">
        <f>"60093"</f>
        <v>60093</v>
      </c>
      <c r="J482" t="s">
        <v>22</v>
      </c>
      <c r="K482" t="s">
        <v>23</v>
      </c>
      <c r="L482" s="2">
        <v>14835581</v>
      </c>
      <c r="M482" s="2">
        <v>12003509</v>
      </c>
      <c r="N482" s="2">
        <v>15390</v>
      </c>
      <c r="O482" s="2">
        <v>3283318</v>
      </c>
      <c r="P482" t="s">
        <v>24</v>
      </c>
      <c r="Q482" t="s">
        <v>24</v>
      </c>
    </row>
    <row r="483" spans="1:17" x14ac:dyDescent="0.25">
      <c r="A483" t="s">
        <v>3431</v>
      </c>
      <c r="B483" t="s">
        <v>3432</v>
      </c>
      <c r="C483" s="1">
        <v>41275</v>
      </c>
      <c r="D483" s="1">
        <v>41639</v>
      </c>
      <c r="E483" t="s">
        <v>3433</v>
      </c>
      <c r="G483" t="s">
        <v>143</v>
      </c>
      <c r="H483" t="s">
        <v>47</v>
      </c>
      <c r="I483" t="str">
        <f>"48226"</f>
        <v>48226</v>
      </c>
      <c r="J483" t="s">
        <v>22</v>
      </c>
      <c r="K483" t="s">
        <v>79</v>
      </c>
      <c r="L483" s="2">
        <v>14787503</v>
      </c>
      <c r="M483" s="2">
        <v>6217044</v>
      </c>
      <c r="N483" s="2">
        <v>604</v>
      </c>
      <c r="O483" s="2">
        <v>933027</v>
      </c>
      <c r="P483" t="s">
        <v>24</v>
      </c>
      <c r="Q483" t="s">
        <v>24</v>
      </c>
    </row>
    <row r="484" spans="1:17" x14ac:dyDescent="0.25">
      <c r="A484" t="s">
        <v>2987</v>
      </c>
      <c r="B484" t="s">
        <v>2988</v>
      </c>
      <c r="C484" s="1">
        <v>41275</v>
      </c>
      <c r="D484" s="1">
        <v>41639</v>
      </c>
      <c r="E484" t="s">
        <v>2989</v>
      </c>
      <c r="G484" t="s">
        <v>2990</v>
      </c>
      <c r="H484" t="s">
        <v>29</v>
      </c>
      <c r="I484" t="str">
        <f>"60527"</f>
        <v>60527</v>
      </c>
      <c r="J484" t="s">
        <v>22</v>
      </c>
      <c r="K484" t="s">
        <v>30</v>
      </c>
      <c r="L484" s="2">
        <v>14747553</v>
      </c>
      <c r="M484" s="2">
        <v>9244570</v>
      </c>
      <c r="N484" s="2">
        <v>0</v>
      </c>
      <c r="O484" s="2">
        <v>1076435</v>
      </c>
      <c r="P484" t="s">
        <v>24</v>
      </c>
      <c r="Q484" t="s">
        <v>24</v>
      </c>
    </row>
    <row r="485" spans="1:17" x14ac:dyDescent="0.25">
      <c r="A485" t="s">
        <v>3599</v>
      </c>
      <c r="B485" t="s">
        <v>3600</v>
      </c>
      <c r="C485" s="1">
        <v>41275</v>
      </c>
      <c r="D485" s="1">
        <v>41639</v>
      </c>
      <c r="E485" t="s">
        <v>3601</v>
      </c>
      <c r="G485" t="s">
        <v>1648</v>
      </c>
      <c r="H485" t="s">
        <v>29</v>
      </c>
      <c r="I485" t="str">
        <f>"61820"</f>
        <v>61820</v>
      </c>
      <c r="J485" t="s">
        <v>63</v>
      </c>
      <c r="K485" t="s">
        <v>64</v>
      </c>
      <c r="L485" s="2">
        <v>14732982</v>
      </c>
      <c r="M485" s="2">
        <v>1944485</v>
      </c>
      <c r="N485" s="2">
        <v>0</v>
      </c>
      <c r="O485" s="2">
        <v>1194830</v>
      </c>
      <c r="P485" s="2">
        <v>31000</v>
      </c>
      <c r="Q485" s="2">
        <v>3618</v>
      </c>
    </row>
    <row r="486" spans="1:17" x14ac:dyDescent="0.25">
      <c r="A486" t="s">
        <v>1307</v>
      </c>
      <c r="B486" t="s">
        <v>1308</v>
      </c>
      <c r="C486" s="1">
        <v>41091</v>
      </c>
      <c r="D486" s="1">
        <v>41455</v>
      </c>
      <c r="E486" t="s">
        <v>1309</v>
      </c>
      <c r="G486" t="s">
        <v>28</v>
      </c>
      <c r="H486" t="s">
        <v>29</v>
      </c>
      <c r="I486" t="str">
        <f>"60611"</f>
        <v>60611</v>
      </c>
      <c r="J486" t="s">
        <v>22</v>
      </c>
      <c r="K486" t="s">
        <v>30</v>
      </c>
      <c r="L486" s="2">
        <v>14711380</v>
      </c>
      <c r="M486" s="2">
        <v>6769375</v>
      </c>
      <c r="N486" s="2">
        <v>7377</v>
      </c>
      <c r="O486" s="2">
        <v>603550</v>
      </c>
      <c r="P486" t="s">
        <v>24</v>
      </c>
      <c r="Q486" t="s">
        <v>24</v>
      </c>
    </row>
    <row r="487" spans="1:17" x14ac:dyDescent="0.25">
      <c r="A487" t="s">
        <v>7626</v>
      </c>
      <c r="B487" t="s">
        <v>7627</v>
      </c>
      <c r="C487" s="1">
        <v>41275</v>
      </c>
      <c r="D487" s="1">
        <v>41639</v>
      </c>
      <c r="E487" t="s">
        <v>7628</v>
      </c>
      <c r="G487" t="s">
        <v>7629</v>
      </c>
      <c r="H487" t="s">
        <v>29</v>
      </c>
      <c r="I487" t="str">
        <f>"60190"</f>
        <v>60190</v>
      </c>
      <c r="J487" t="s">
        <v>22</v>
      </c>
      <c r="K487" t="s">
        <v>30</v>
      </c>
      <c r="L487" s="2">
        <v>14708406</v>
      </c>
      <c r="M487" s="2">
        <v>1393640</v>
      </c>
      <c r="N487" s="2">
        <v>0</v>
      </c>
      <c r="O487" s="2">
        <v>674326</v>
      </c>
      <c r="P487" t="s">
        <v>24</v>
      </c>
      <c r="Q487" t="s">
        <v>24</v>
      </c>
    </row>
    <row r="488" spans="1:17" x14ac:dyDescent="0.25">
      <c r="A488" t="s">
        <v>6659</v>
      </c>
      <c r="B488" t="s">
        <v>6660</v>
      </c>
      <c r="C488" s="1">
        <v>40909</v>
      </c>
      <c r="D488" s="1">
        <v>41274</v>
      </c>
      <c r="E488" t="s">
        <v>6661</v>
      </c>
      <c r="G488" t="s">
        <v>41</v>
      </c>
      <c r="H488" t="s">
        <v>42</v>
      </c>
      <c r="I488" t="str">
        <f>"53212"</f>
        <v>53212</v>
      </c>
      <c r="J488" t="s">
        <v>63</v>
      </c>
      <c r="K488" t="s">
        <v>23</v>
      </c>
      <c r="L488" s="2">
        <v>14655880</v>
      </c>
      <c r="M488" s="2">
        <v>643651</v>
      </c>
      <c r="N488" s="2">
        <v>257600</v>
      </c>
      <c r="O488" s="2">
        <v>1801111</v>
      </c>
      <c r="P488" s="2">
        <v>104066</v>
      </c>
      <c r="Q488" s="2">
        <v>0</v>
      </c>
    </row>
    <row r="489" spans="1:17" x14ac:dyDescent="0.25">
      <c r="A489" t="s">
        <v>4334</v>
      </c>
      <c r="B489" t="s">
        <v>4335</v>
      </c>
      <c r="C489" s="1">
        <v>41275</v>
      </c>
      <c r="D489" s="1">
        <v>41639</v>
      </c>
      <c r="E489" t="s">
        <v>4336</v>
      </c>
      <c r="G489" t="s">
        <v>4337</v>
      </c>
      <c r="H489" t="s">
        <v>78</v>
      </c>
      <c r="I489" t="str">
        <f>"41017"</f>
        <v>41017</v>
      </c>
      <c r="J489" t="s">
        <v>22</v>
      </c>
      <c r="K489" t="s">
        <v>23</v>
      </c>
      <c r="L489" s="2">
        <v>14643949</v>
      </c>
      <c r="M489" s="2">
        <v>2339430</v>
      </c>
      <c r="N489" s="2">
        <v>0</v>
      </c>
      <c r="O489" s="2">
        <v>647789</v>
      </c>
      <c r="P489" t="s">
        <v>24</v>
      </c>
      <c r="Q489" t="s">
        <v>24</v>
      </c>
    </row>
    <row r="490" spans="1:17" x14ac:dyDescent="0.25">
      <c r="A490" t="s">
        <v>4010</v>
      </c>
      <c r="B490" t="s">
        <v>4011</v>
      </c>
      <c r="C490" s="1">
        <v>41275</v>
      </c>
      <c r="D490" s="1">
        <v>41639</v>
      </c>
      <c r="E490" t="s">
        <v>4012</v>
      </c>
      <c r="G490" t="s">
        <v>353</v>
      </c>
      <c r="H490" t="s">
        <v>21</v>
      </c>
      <c r="I490" t="str">
        <f>"47203"</f>
        <v>47203</v>
      </c>
      <c r="J490" t="s">
        <v>22</v>
      </c>
      <c r="K490" t="s">
        <v>23</v>
      </c>
      <c r="L490" s="2">
        <v>14638555</v>
      </c>
      <c r="M490" s="2">
        <v>1118242</v>
      </c>
      <c r="N490" s="2">
        <v>0</v>
      </c>
      <c r="O490" s="2">
        <v>693842</v>
      </c>
      <c r="P490" t="s">
        <v>24</v>
      </c>
      <c r="Q490" t="s">
        <v>24</v>
      </c>
    </row>
    <row r="491" spans="1:17" x14ac:dyDescent="0.25">
      <c r="A491" t="s">
        <v>5065</v>
      </c>
      <c r="B491" t="s">
        <v>5066</v>
      </c>
      <c r="C491" s="1">
        <v>41275</v>
      </c>
      <c r="D491" s="1">
        <v>41639</v>
      </c>
      <c r="E491" t="s">
        <v>50</v>
      </c>
      <c r="G491" t="s">
        <v>28</v>
      </c>
      <c r="H491" t="s">
        <v>29</v>
      </c>
      <c r="I491" t="str">
        <f>"60603"</f>
        <v>60603</v>
      </c>
      <c r="J491" t="s">
        <v>5067</v>
      </c>
      <c r="K491" t="s">
        <v>30</v>
      </c>
      <c r="L491" s="2">
        <v>14611338</v>
      </c>
      <c r="M491" s="2">
        <v>5739958</v>
      </c>
      <c r="N491" s="2">
        <v>0</v>
      </c>
      <c r="O491" s="2">
        <v>792150</v>
      </c>
      <c r="P491" t="s">
        <v>24</v>
      </c>
      <c r="Q491" t="s">
        <v>24</v>
      </c>
    </row>
    <row r="492" spans="1:17" x14ac:dyDescent="0.25">
      <c r="A492" t="s">
        <v>3429</v>
      </c>
      <c r="B492" t="s">
        <v>3430</v>
      </c>
      <c r="C492" s="1">
        <v>41548</v>
      </c>
      <c r="D492" s="1">
        <v>41912</v>
      </c>
      <c r="E492" t="s">
        <v>1544</v>
      </c>
      <c r="G492" t="s">
        <v>416</v>
      </c>
      <c r="H492" t="s">
        <v>29</v>
      </c>
      <c r="I492" t="str">
        <f>"60067"</f>
        <v>60067</v>
      </c>
      <c r="J492" t="s">
        <v>22</v>
      </c>
      <c r="K492" t="s">
        <v>30</v>
      </c>
      <c r="L492" s="2">
        <v>14610742</v>
      </c>
      <c r="M492" s="2">
        <v>3575835</v>
      </c>
      <c r="N492" s="2">
        <v>0</v>
      </c>
      <c r="O492" s="2">
        <v>884258</v>
      </c>
      <c r="P492" t="s">
        <v>24</v>
      </c>
      <c r="Q492" t="s">
        <v>24</v>
      </c>
    </row>
    <row r="493" spans="1:17" x14ac:dyDescent="0.25">
      <c r="A493" t="s">
        <v>476</v>
      </c>
      <c r="B493" t="s">
        <v>477</v>
      </c>
      <c r="C493" s="1">
        <v>41275</v>
      </c>
      <c r="D493" s="1">
        <v>41639</v>
      </c>
      <c r="E493" t="s">
        <v>478</v>
      </c>
      <c r="G493" t="s">
        <v>479</v>
      </c>
      <c r="H493" t="s">
        <v>47</v>
      </c>
      <c r="I493" t="str">
        <f>"49203"</f>
        <v>49203</v>
      </c>
      <c r="J493" t="s">
        <v>22</v>
      </c>
      <c r="K493" t="s">
        <v>23</v>
      </c>
      <c r="L493" s="2">
        <v>14507685</v>
      </c>
      <c r="M493" s="2">
        <v>3217599</v>
      </c>
      <c r="N493" s="2">
        <v>0</v>
      </c>
      <c r="O493" s="2">
        <v>1531831</v>
      </c>
      <c r="P493" t="s">
        <v>24</v>
      </c>
      <c r="Q493" t="s">
        <v>24</v>
      </c>
    </row>
    <row r="494" spans="1:17" x14ac:dyDescent="0.25">
      <c r="A494" t="s">
        <v>5618</v>
      </c>
      <c r="B494" t="s">
        <v>5619</v>
      </c>
      <c r="C494" s="1">
        <v>41275</v>
      </c>
      <c r="D494" s="1">
        <v>41639</v>
      </c>
      <c r="E494" t="s">
        <v>5620</v>
      </c>
      <c r="G494" t="s">
        <v>20</v>
      </c>
      <c r="H494" t="s">
        <v>21</v>
      </c>
      <c r="I494" t="str">
        <f>"46208"</f>
        <v>46208</v>
      </c>
      <c r="J494" t="s">
        <v>22</v>
      </c>
      <c r="K494" t="s">
        <v>23</v>
      </c>
      <c r="L494" s="2">
        <v>14386989</v>
      </c>
      <c r="M494" s="2">
        <v>12272936</v>
      </c>
      <c r="N494" s="2">
        <v>0</v>
      </c>
      <c r="O494" s="2">
        <v>284179</v>
      </c>
      <c r="P494" t="s">
        <v>24</v>
      </c>
      <c r="Q494" t="s">
        <v>24</v>
      </c>
    </row>
    <row r="495" spans="1:17" x14ac:dyDescent="0.25">
      <c r="A495" t="s">
        <v>6944</v>
      </c>
      <c r="B495" t="s">
        <v>6945</v>
      </c>
      <c r="C495" s="1">
        <v>40909</v>
      </c>
      <c r="D495" s="1">
        <v>41274</v>
      </c>
      <c r="E495" t="s">
        <v>6946</v>
      </c>
      <c r="G495" t="s">
        <v>28</v>
      </c>
      <c r="H495" t="s">
        <v>29</v>
      </c>
      <c r="I495" t="str">
        <f>"60603"</f>
        <v>60603</v>
      </c>
      <c r="J495" t="s">
        <v>22</v>
      </c>
      <c r="K495" t="s">
        <v>91</v>
      </c>
      <c r="L495" s="2">
        <v>14340493</v>
      </c>
      <c r="M495" s="2">
        <v>6060284</v>
      </c>
      <c r="N495" s="2">
        <v>0</v>
      </c>
      <c r="O495" s="2">
        <v>729691</v>
      </c>
      <c r="P495" t="s">
        <v>24</v>
      </c>
      <c r="Q495" t="s">
        <v>24</v>
      </c>
    </row>
    <row r="496" spans="1:17" x14ac:dyDescent="0.25">
      <c r="A496" t="s">
        <v>3437</v>
      </c>
      <c r="B496" t="s">
        <v>3438</v>
      </c>
      <c r="C496" s="1">
        <v>41518</v>
      </c>
      <c r="D496" s="1">
        <v>41882</v>
      </c>
      <c r="E496" t="s">
        <v>1090</v>
      </c>
      <c r="G496" t="s">
        <v>28</v>
      </c>
      <c r="H496" t="s">
        <v>29</v>
      </c>
      <c r="I496" t="str">
        <f>"60654"</f>
        <v>60654</v>
      </c>
      <c r="J496" t="s">
        <v>22</v>
      </c>
      <c r="K496" t="s">
        <v>23</v>
      </c>
      <c r="L496" s="2">
        <v>14323672</v>
      </c>
      <c r="M496" s="2">
        <v>1448748</v>
      </c>
      <c r="N496" s="2">
        <v>0</v>
      </c>
      <c r="O496" s="2">
        <v>869387</v>
      </c>
      <c r="P496" t="s">
        <v>24</v>
      </c>
      <c r="Q496" t="s">
        <v>24</v>
      </c>
    </row>
    <row r="497" spans="1:17" x14ac:dyDescent="0.25">
      <c r="A497" t="s">
        <v>5229</v>
      </c>
      <c r="B497" t="s">
        <v>5230</v>
      </c>
      <c r="C497" s="1">
        <v>41275</v>
      </c>
      <c r="D497" s="1">
        <v>41639</v>
      </c>
      <c r="E497" t="s">
        <v>5231</v>
      </c>
      <c r="G497" t="s">
        <v>28</v>
      </c>
      <c r="H497" t="s">
        <v>29</v>
      </c>
      <c r="I497" t="str">
        <f>"60613"</f>
        <v>60613</v>
      </c>
      <c r="J497" t="s">
        <v>22</v>
      </c>
      <c r="K497" t="s">
        <v>30</v>
      </c>
      <c r="L497" s="2">
        <v>14290766</v>
      </c>
      <c r="M497" s="2">
        <v>4133200</v>
      </c>
      <c r="N497" s="2">
        <v>0</v>
      </c>
      <c r="O497" s="2">
        <v>6683111</v>
      </c>
      <c r="P497" t="s">
        <v>24</v>
      </c>
      <c r="Q497" t="s">
        <v>24</v>
      </c>
    </row>
    <row r="498" spans="1:17" x14ac:dyDescent="0.25">
      <c r="A498" t="s">
        <v>2246</v>
      </c>
      <c r="B498" t="s">
        <v>2247</v>
      </c>
      <c r="C498" s="1">
        <v>41275</v>
      </c>
      <c r="D498" s="1">
        <v>41639</v>
      </c>
      <c r="E498" t="s">
        <v>2248</v>
      </c>
      <c r="G498" t="s">
        <v>2249</v>
      </c>
      <c r="H498" t="s">
        <v>47</v>
      </c>
      <c r="I498" t="str">
        <f>"48804"</f>
        <v>48804</v>
      </c>
      <c r="J498" t="s">
        <v>63</v>
      </c>
      <c r="K498" t="s">
        <v>64</v>
      </c>
      <c r="L498" s="2">
        <v>14269471</v>
      </c>
      <c r="M498" s="2">
        <v>1884854</v>
      </c>
      <c r="N498" s="2">
        <v>13938</v>
      </c>
      <c r="O498" s="2">
        <v>876684</v>
      </c>
      <c r="P498" s="2">
        <v>395016</v>
      </c>
      <c r="Q498" s="2">
        <v>18768</v>
      </c>
    </row>
    <row r="499" spans="1:17" x14ac:dyDescent="0.25">
      <c r="A499" t="s">
        <v>4620</v>
      </c>
      <c r="B499" t="s">
        <v>4621</v>
      </c>
      <c r="C499" s="1">
        <v>41456</v>
      </c>
      <c r="D499" s="1">
        <v>41820</v>
      </c>
      <c r="E499" t="s">
        <v>4622</v>
      </c>
      <c r="F499" t="s">
        <v>4623</v>
      </c>
      <c r="G499" t="s">
        <v>28</v>
      </c>
      <c r="H499" t="s">
        <v>29</v>
      </c>
      <c r="I499" t="str">
        <f>"60601"</f>
        <v>60601</v>
      </c>
      <c r="J499" t="s">
        <v>63</v>
      </c>
      <c r="K499" t="s">
        <v>79</v>
      </c>
      <c r="L499" s="2">
        <v>14262064</v>
      </c>
      <c r="M499" s="2">
        <v>3882742</v>
      </c>
      <c r="N499" s="2">
        <v>440530</v>
      </c>
      <c r="O499" s="2">
        <v>3686053</v>
      </c>
      <c r="P499" s="2">
        <v>85683</v>
      </c>
      <c r="Q499" s="2">
        <v>506129</v>
      </c>
    </row>
    <row r="500" spans="1:17" x14ac:dyDescent="0.25">
      <c r="A500" t="s">
        <v>1285</v>
      </c>
      <c r="B500" t="s">
        <v>1286</v>
      </c>
      <c r="C500" s="1">
        <v>41183</v>
      </c>
      <c r="D500" s="1">
        <v>41547</v>
      </c>
      <c r="E500" t="s">
        <v>1287</v>
      </c>
      <c r="G500" t="s">
        <v>1288</v>
      </c>
      <c r="H500" t="s">
        <v>47</v>
      </c>
      <c r="I500" t="str">
        <f>"49242"</f>
        <v>49242</v>
      </c>
      <c r="J500" t="s">
        <v>63</v>
      </c>
      <c r="K500" t="s">
        <v>64</v>
      </c>
      <c r="L500" s="2">
        <v>14222281</v>
      </c>
      <c r="M500" s="2">
        <v>1496015</v>
      </c>
      <c r="N500" s="2">
        <v>61791</v>
      </c>
      <c r="O500" s="2">
        <v>1162798</v>
      </c>
      <c r="P500" s="2">
        <v>77955</v>
      </c>
      <c r="Q500" s="2">
        <v>71548</v>
      </c>
    </row>
    <row r="501" spans="1:17" x14ac:dyDescent="0.25">
      <c r="A501" t="s">
        <v>6650</v>
      </c>
      <c r="B501" t="s">
        <v>6651</v>
      </c>
      <c r="C501" s="1">
        <v>41091</v>
      </c>
      <c r="D501" s="1">
        <v>41455</v>
      </c>
      <c r="E501" t="s">
        <v>6652</v>
      </c>
      <c r="F501" t="s">
        <v>6653</v>
      </c>
      <c r="G501" t="s">
        <v>258</v>
      </c>
      <c r="H501" t="s">
        <v>62</v>
      </c>
      <c r="I501" t="str">
        <f>"44503"</f>
        <v>44503</v>
      </c>
      <c r="J501" t="s">
        <v>63</v>
      </c>
      <c r="K501" t="s">
        <v>64</v>
      </c>
      <c r="L501" s="2">
        <v>14151580</v>
      </c>
      <c r="M501" s="2">
        <v>1673160</v>
      </c>
      <c r="N501" s="2">
        <v>3160917</v>
      </c>
      <c r="O501" s="2">
        <v>1373771</v>
      </c>
      <c r="P501" s="2">
        <v>265827</v>
      </c>
      <c r="Q501" s="2">
        <v>19239</v>
      </c>
    </row>
    <row r="502" spans="1:17" x14ac:dyDescent="0.25">
      <c r="A502" t="s">
        <v>6632</v>
      </c>
      <c r="B502" t="s">
        <v>6633</v>
      </c>
      <c r="C502" s="1">
        <v>40909</v>
      </c>
      <c r="D502" s="1">
        <v>41274</v>
      </c>
      <c r="E502" t="s">
        <v>6634</v>
      </c>
      <c r="G502" t="s">
        <v>41</v>
      </c>
      <c r="H502" t="s">
        <v>42</v>
      </c>
      <c r="I502" t="str">
        <f>"53201"</f>
        <v>53201</v>
      </c>
      <c r="J502" t="s">
        <v>22</v>
      </c>
      <c r="K502" t="s">
        <v>23</v>
      </c>
      <c r="L502" s="2">
        <v>14107918</v>
      </c>
      <c r="M502" s="2">
        <v>6390637</v>
      </c>
      <c r="N502" s="2">
        <v>0</v>
      </c>
      <c r="O502" s="2">
        <v>629354</v>
      </c>
      <c r="P502" t="s">
        <v>24</v>
      </c>
      <c r="Q502" t="s">
        <v>24</v>
      </c>
    </row>
    <row r="503" spans="1:17" x14ac:dyDescent="0.25">
      <c r="A503" t="s">
        <v>2925</v>
      </c>
      <c r="B503" t="s">
        <v>2926</v>
      </c>
      <c r="C503" s="1">
        <v>41275</v>
      </c>
      <c r="D503" s="1">
        <v>41547</v>
      </c>
      <c r="E503" t="s">
        <v>2927</v>
      </c>
      <c r="F503" t="s">
        <v>2928</v>
      </c>
      <c r="G503" t="s">
        <v>2929</v>
      </c>
      <c r="H503" t="s">
        <v>29</v>
      </c>
      <c r="I503" t="str">
        <f>"60098"</f>
        <v>60098</v>
      </c>
      <c r="J503" t="s">
        <v>63</v>
      </c>
      <c r="K503" t="s">
        <v>64</v>
      </c>
      <c r="L503" s="2">
        <v>14101263</v>
      </c>
      <c r="M503" s="2">
        <v>1879307</v>
      </c>
      <c r="N503" s="2">
        <v>375777</v>
      </c>
      <c r="O503" s="2">
        <v>1090742</v>
      </c>
      <c r="P503" s="2">
        <v>78149</v>
      </c>
      <c r="Q503" s="2">
        <v>118801</v>
      </c>
    </row>
    <row r="504" spans="1:17" x14ac:dyDescent="0.25">
      <c r="A504" t="s">
        <v>3267</v>
      </c>
      <c r="B504" t="s">
        <v>3268</v>
      </c>
      <c r="C504" s="1">
        <v>40909</v>
      </c>
      <c r="D504" s="1">
        <v>41274</v>
      </c>
      <c r="E504" t="s">
        <v>3269</v>
      </c>
      <c r="G504" t="s">
        <v>865</v>
      </c>
      <c r="H504" t="s">
        <v>29</v>
      </c>
      <c r="I504" t="str">
        <f>"60035"</f>
        <v>60035</v>
      </c>
      <c r="J504" t="s">
        <v>22</v>
      </c>
      <c r="K504" t="s">
        <v>30</v>
      </c>
      <c r="L504" s="2">
        <v>14052213</v>
      </c>
      <c r="M504" s="2">
        <v>11327481</v>
      </c>
      <c r="N504" s="2">
        <v>6474</v>
      </c>
      <c r="O504" s="2">
        <v>3469306</v>
      </c>
      <c r="P504" t="s">
        <v>24</v>
      </c>
      <c r="Q504" t="s">
        <v>24</v>
      </c>
    </row>
    <row r="505" spans="1:17" x14ac:dyDescent="0.25">
      <c r="A505" t="s">
        <v>2015</v>
      </c>
      <c r="B505" t="s">
        <v>2016</v>
      </c>
      <c r="C505" s="1">
        <v>41275</v>
      </c>
      <c r="D505" s="1">
        <v>41639</v>
      </c>
      <c r="E505" t="s">
        <v>2017</v>
      </c>
      <c r="G505" t="s">
        <v>2018</v>
      </c>
      <c r="H505" t="s">
        <v>21</v>
      </c>
      <c r="I505" t="str">
        <f>"46706"</f>
        <v>46706</v>
      </c>
      <c r="J505" t="s">
        <v>63</v>
      </c>
      <c r="K505" t="s">
        <v>64</v>
      </c>
      <c r="L505" s="2">
        <v>14041958</v>
      </c>
      <c r="M505" s="2">
        <v>1342926</v>
      </c>
      <c r="N505" s="2">
        <v>1813813</v>
      </c>
      <c r="O505" s="2">
        <v>1112087</v>
      </c>
      <c r="P505" s="2">
        <v>377605</v>
      </c>
      <c r="Q505" s="2">
        <v>41612</v>
      </c>
    </row>
    <row r="506" spans="1:17" x14ac:dyDescent="0.25">
      <c r="A506" t="s">
        <v>4080</v>
      </c>
      <c r="B506" t="s">
        <v>4081</v>
      </c>
      <c r="C506" s="1">
        <v>41275</v>
      </c>
      <c r="D506" s="1">
        <v>41639</v>
      </c>
      <c r="E506" t="s">
        <v>4082</v>
      </c>
      <c r="G506" t="s">
        <v>28</v>
      </c>
      <c r="H506" t="s">
        <v>29</v>
      </c>
      <c r="I506" t="str">
        <f>"60654"</f>
        <v>60654</v>
      </c>
      <c r="J506" t="s">
        <v>22</v>
      </c>
      <c r="K506" t="s">
        <v>91</v>
      </c>
      <c r="L506" s="2">
        <v>14020324</v>
      </c>
      <c r="M506" s="2">
        <v>5008159</v>
      </c>
      <c r="N506" s="2">
        <v>0</v>
      </c>
      <c r="O506" s="2">
        <v>697411</v>
      </c>
      <c r="P506" t="s">
        <v>24</v>
      </c>
      <c r="Q506" t="s">
        <v>24</v>
      </c>
    </row>
    <row r="507" spans="1:17" x14ac:dyDescent="0.25">
      <c r="A507" t="s">
        <v>2814</v>
      </c>
      <c r="B507" t="s">
        <v>2815</v>
      </c>
      <c r="C507" s="1">
        <v>41275</v>
      </c>
      <c r="D507" s="1">
        <v>41639</v>
      </c>
      <c r="E507" t="s">
        <v>2816</v>
      </c>
      <c r="G507" t="s">
        <v>2817</v>
      </c>
      <c r="H507" t="s">
        <v>62</v>
      </c>
      <c r="I507" t="str">
        <f>"44820"</f>
        <v>44820</v>
      </c>
      <c r="J507" t="s">
        <v>63</v>
      </c>
      <c r="K507" t="s">
        <v>64</v>
      </c>
      <c r="L507" s="2">
        <v>14011720</v>
      </c>
      <c r="M507" s="2">
        <v>1141589</v>
      </c>
      <c r="N507" s="2">
        <v>550879</v>
      </c>
      <c r="O507" s="2">
        <v>556492</v>
      </c>
      <c r="P507" s="2">
        <v>125982</v>
      </c>
      <c r="Q507" s="2">
        <v>0</v>
      </c>
    </row>
    <row r="508" spans="1:17" x14ac:dyDescent="0.25">
      <c r="A508" t="s">
        <v>7013</v>
      </c>
      <c r="B508" t="s">
        <v>7014</v>
      </c>
      <c r="C508" s="1">
        <v>41395</v>
      </c>
      <c r="D508" s="1">
        <v>41759</v>
      </c>
      <c r="E508" t="s">
        <v>7015</v>
      </c>
      <c r="G508" t="s">
        <v>7016</v>
      </c>
      <c r="H508" t="s">
        <v>47</v>
      </c>
      <c r="I508" t="str">
        <f>"49720"</f>
        <v>49720</v>
      </c>
      <c r="J508" t="s">
        <v>22</v>
      </c>
      <c r="K508" t="s">
        <v>91</v>
      </c>
      <c r="L508" s="2">
        <v>13974751</v>
      </c>
      <c r="M508" s="2">
        <v>7849332</v>
      </c>
      <c r="N508" s="2">
        <v>0</v>
      </c>
      <c r="O508" s="2">
        <v>211128</v>
      </c>
      <c r="P508" t="s">
        <v>24</v>
      </c>
      <c r="Q508" t="s">
        <v>24</v>
      </c>
    </row>
    <row r="509" spans="1:17" x14ac:dyDescent="0.25">
      <c r="A509" t="s">
        <v>4657</v>
      </c>
      <c r="B509" t="s">
        <v>4658</v>
      </c>
      <c r="C509" s="1">
        <v>41275</v>
      </c>
      <c r="D509" s="1">
        <v>41639</v>
      </c>
      <c r="E509" t="s">
        <v>4659</v>
      </c>
      <c r="G509" t="s">
        <v>337</v>
      </c>
      <c r="H509" t="s">
        <v>62</v>
      </c>
      <c r="I509" t="str">
        <f>"44106"</f>
        <v>44106</v>
      </c>
      <c r="J509" t="s">
        <v>63</v>
      </c>
      <c r="K509" t="s">
        <v>79</v>
      </c>
      <c r="L509" s="2">
        <v>13932804</v>
      </c>
      <c r="M509" s="2">
        <v>864168</v>
      </c>
      <c r="N509" s="2">
        <v>762968</v>
      </c>
      <c r="O509" s="2">
        <v>287282</v>
      </c>
      <c r="P509" s="2">
        <v>134028</v>
      </c>
      <c r="Q509" s="2">
        <v>0</v>
      </c>
    </row>
    <row r="510" spans="1:17" x14ac:dyDescent="0.25">
      <c r="A510" t="s">
        <v>6575</v>
      </c>
      <c r="B510" t="s">
        <v>6576</v>
      </c>
      <c r="C510" s="1">
        <v>41275</v>
      </c>
      <c r="D510" s="1">
        <v>41639</v>
      </c>
      <c r="E510" t="s">
        <v>6577</v>
      </c>
      <c r="G510" t="s">
        <v>1200</v>
      </c>
      <c r="H510" t="s">
        <v>42</v>
      </c>
      <c r="I510" t="str">
        <f>"53403"</f>
        <v>53403</v>
      </c>
      <c r="J510" t="s">
        <v>22</v>
      </c>
      <c r="K510" t="s">
        <v>23</v>
      </c>
      <c r="L510" s="2">
        <v>13919660</v>
      </c>
      <c r="M510" s="2">
        <v>4861024</v>
      </c>
      <c r="N510" s="2">
        <v>0</v>
      </c>
      <c r="O510" s="2">
        <v>999316</v>
      </c>
      <c r="P510" t="s">
        <v>24</v>
      </c>
      <c r="Q510" t="s">
        <v>24</v>
      </c>
    </row>
    <row r="511" spans="1:17" x14ac:dyDescent="0.25">
      <c r="A511" t="s">
        <v>3248</v>
      </c>
      <c r="B511" t="s">
        <v>3249</v>
      </c>
      <c r="C511" s="1">
        <v>41275</v>
      </c>
      <c r="D511" s="1">
        <v>41639</v>
      </c>
      <c r="E511" t="s">
        <v>3250</v>
      </c>
      <c r="G511" t="s">
        <v>1946</v>
      </c>
      <c r="H511" t="s">
        <v>47</v>
      </c>
      <c r="I511" t="str">
        <f>"48025"</f>
        <v>48025</v>
      </c>
      <c r="J511" t="s">
        <v>22</v>
      </c>
      <c r="K511" t="s">
        <v>30</v>
      </c>
      <c r="L511" s="2">
        <v>13836926</v>
      </c>
      <c r="M511" s="2">
        <v>10375084</v>
      </c>
      <c r="N511" s="2">
        <v>0</v>
      </c>
      <c r="O511" s="2">
        <v>318504</v>
      </c>
      <c r="P511" t="s">
        <v>24</v>
      </c>
      <c r="Q511" t="s">
        <v>24</v>
      </c>
    </row>
    <row r="512" spans="1:17" x14ac:dyDescent="0.25">
      <c r="A512" t="s">
        <v>6787</v>
      </c>
      <c r="B512" t="s">
        <v>6788</v>
      </c>
      <c r="C512" s="1">
        <v>41122</v>
      </c>
      <c r="D512" s="1">
        <v>41486</v>
      </c>
      <c r="E512" t="s">
        <v>6789</v>
      </c>
      <c r="G512" t="s">
        <v>2785</v>
      </c>
      <c r="H512" t="s">
        <v>29</v>
      </c>
      <c r="I512" t="str">
        <f>"62704"</f>
        <v>62704</v>
      </c>
      <c r="J512" t="s">
        <v>22</v>
      </c>
      <c r="K512" t="s">
        <v>30</v>
      </c>
      <c r="L512" s="2">
        <v>13794041</v>
      </c>
      <c r="M512" s="2">
        <v>1602949</v>
      </c>
      <c r="N512" s="2">
        <v>0</v>
      </c>
      <c r="O512" s="2">
        <v>596103</v>
      </c>
      <c r="P512" t="s">
        <v>24</v>
      </c>
      <c r="Q512" t="s">
        <v>24</v>
      </c>
    </row>
    <row r="513" spans="1:17" x14ac:dyDescent="0.25">
      <c r="A513" t="s">
        <v>3999</v>
      </c>
      <c r="B513" t="s">
        <v>4000</v>
      </c>
      <c r="C513" s="1">
        <v>41275</v>
      </c>
      <c r="D513" s="1">
        <v>41639</v>
      </c>
      <c r="E513" t="s">
        <v>4001</v>
      </c>
      <c r="G513" t="s">
        <v>4002</v>
      </c>
      <c r="H513" t="s">
        <v>21</v>
      </c>
      <c r="I513" t="str">
        <f>"46750"</f>
        <v>46750</v>
      </c>
      <c r="J513" t="s">
        <v>63</v>
      </c>
      <c r="K513" t="s">
        <v>64</v>
      </c>
      <c r="L513" s="2">
        <v>13786715</v>
      </c>
      <c r="M513" s="2">
        <v>897680</v>
      </c>
      <c r="N513" s="2">
        <v>3849234</v>
      </c>
      <c r="O513" s="2">
        <v>663525</v>
      </c>
      <c r="P513" s="2">
        <v>137115</v>
      </c>
      <c r="Q513" s="2">
        <v>7395</v>
      </c>
    </row>
    <row r="514" spans="1:17" x14ac:dyDescent="0.25">
      <c r="A514" t="s">
        <v>7220</v>
      </c>
      <c r="B514" t="s">
        <v>7221</v>
      </c>
      <c r="C514" s="1">
        <v>41275</v>
      </c>
      <c r="D514" s="1">
        <v>41639</v>
      </c>
      <c r="E514" t="s">
        <v>7222</v>
      </c>
      <c r="G514" t="s">
        <v>7223</v>
      </c>
      <c r="H514" t="s">
        <v>21</v>
      </c>
      <c r="I514" t="str">
        <f>"46038"</f>
        <v>46038</v>
      </c>
      <c r="J514" t="s">
        <v>22</v>
      </c>
      <c r="K514" t="s">
        <v>30</v>
      </c>
      <c r="L514" s="2">
        <v>13763608</v>
      </c>
      <c r="M514" s="2">
        <v>7231048</v>
      </c>
      <c r="N514" s="2">
        <v>0</v>
      </c>
      <c r="O514" s="2">
        <v>698992</v>
      </c>
      <c r="P514" t="s">
        <v>24</v>
      </c>
      <c r="Q514" t="s">
        <v>24</v>
      </c>
    </row>
    <row r="515" spans="1:17" x14ac:dyDescent="0.25">
      <c r="A515" t="s">
        <v>487</v>
      </c>
      <c r="B515" t="s">
        <v>488</v>
      </c>
      <c r="C515" s="1">
        <v>41275</v>
      </c>
      <c r="D515" s="1">
        <v>41639</v>
      </c>
      <c r="E515" t="s">
        <v>489</v>
      </c>
      <c r="G515" t="s">
        <v>337</v>
      </c>
      <c r="H515" t="s">
        <v>62</v>
      </c>
      <c r="I515" t="str">
        <f>"44101"</f>
        <v>44101</v>
      </c>
      <c r="J515" t="s">
        <v>22</v>
      </c>
      <c r="K515" t="s">
        <v>91</v>
      </c>
      <c r="L515" s="2">
        <v>13706271</v>
      </c>
      <c r="M515" s="2">
        <v>5406278</v>
      </c>
      <c r="N515" s="2">
        <v>0</v>
      </c>
      <c r="O515" s="2">
        <v>1144464</v>
      </c>
      <c r="P515" t="s">
        <v>24</v>
      </c>
      <c r="Q515" t="s">
        <v>24</v>
      </c>
    </row>
    <row r="516" spans="1:17" x14ac:dyDescent="0.25">
      <c r="A516" t="s">
        <v>2199</v>
      </c>
      <c r="B516" t="s">
        <v>2200</v>
      </c>
      <c r="C516" s="1">
        <v>41275</v>
      </c>
      <c r="D516" s="1">
        <v>41639</v>
      </c>
      <c r="E516" t="s">
        <v>2201</v>
      </c>
      <c r="G516" t="s">
        <v>28</v>
      </c>
      <c r="H516" t="s">
        <v>29</v>
      </c>
      <c r="I516" t="str">
        <f>"60654"</f>
        <v>60654</v>
      </c>
      <c r="J516" t="s">
        <v>22</v>
      </c>
      <c r="K516" t="s">
        <v>30</v>
      </c>
      <c r="L516" s="2">
        <v>13693134</v>
      </c>
      <c r="M516" s="2">
        <v>10017469</v>
      </c>
      <c r="N516" s="2">
        <v>3362</v>
      </c>
      <c r="O516" s="2">
        <v>4344956</v>
      </c>
      <c r="P516" t="s">
        <v>24</v>
      </c>
      <c r="Q516" t="s">
        <v>24</v>
      </c>
    </row>
    <row r="517" spans="1:17" x14ac:dyDescent="0.25">
      <c r="A517" t="s">
        <v>5830</v>
      </c>
      <c r="B517" t="s">
        <v>5831</v>
      </c>
      <c r="C517" s="1">
        <v>41458</v>
      </c>
      <c r="D517" s="1">
        <v>41639</v>
      </c>
      <c r="E517" t="s">
        <v>5832</v>
      </c>
      <c r="G517" t="s">
        <v>28</v>
      </c>
      <c r="H517" t="s">
        <v>29</v>
      </c>
      <c r="I517" t="str">
        <f>"60661"</f>
        <v>60661</v>
      </c>
      <c r="J517" t="s">
        <v>22</v>
      </c>
      <c r="K517" t="s">
        <v>23</v>
      </c>
      <c r="L517" s="2">
        <v>13692293</v>
      </c>
      <c r="M517" s="2">
        <v>13783826</v>
      </c>
      <c r="N517" s="2">
        <v>28</v>
      </c>
      <c r="O517" s="2">
        <v>137193</v>
      </c>
      <c r="P517" t="s">
        <v>24</v>
      </c>
      <c r="Q517" t="s">
        <v>24</v>
      </c>
    </row>
    <row r="518" spans="1:17" x14ac:dyDescent="0.25">
      <c r="A518" t="s">
        <v>7501</v>
      </c>
      <c r="B518" t="s">
        <v>7502</v>
      </c>
      <c r="C518" s="1">
        <v>41365</v>
      </c>
      <c r="D518" s="1">
        <v>41729</v>
      </c>
      <c r="E518" t="s">
        <v>104</v>
      </c>
      <c r="G518" t="s">
        <v>28</v>
      </c>
      <c r="H518" t="s">
        <v>29</v>
      </c>
      <c r="I518" t="str">
        <f>"60680"</f>
        <v>60680</v>
      </c>
      <c r="J518" t="s">
        <v>22</v>
      </c>
      <c r="K518" t="s">
        <v>23</v>
      </c>
      <c r="L518" s="2">
        <v>13601601</v>
      </c>
      <c r="M518" s="2">
        <v>736297</v>
      </c>
      <c r="N518" s="2">
        <v>0</v>
      </c>
      <c r="O518" s="2">
        <v>245621</v>
      </c>
      <c r="P518" t="s">
        <v>24</v>
      </c>
      <c r="Q518" t="s">
        <v>24</v>
      </c>
    </row>
    <row r="519" spans="1:17" x14ac:dyDescent="0.25">
      <c r="A519" t="s">
        <v>5146</v>
      </c>
      <c r="B519" t="s">
        <v>5147</v>
      </c>
      <c r="C519" s="1">
        <v>41275</v>
      </c>
      <c r="D519" s="1">
        <v>41639</v>
      </c>
      <c r="E519" t="s">
        <v>5148</v>
      </c>
      <c r="G519" t="s">
        <v>147</v>
      </c>
      <c r="H519" t="s">
        <v>62</v>
      </c>
      <c r="I519" t="str">
        <f>"44333"</f>
        <v>44333</v>
      </c>
      <c r="J519" t="s">
        <v>22</v>
      </c>
      <c r="K519" t="s">
        <v>23</v>
      </c>
      <c r="L519" s="2">
        <v>13576379</v>
      </c>
      <c r="M519" s="2">
        <v>1491404</v>
      </c>
      <c r="N519" s="2">
        <v>0</v>
      </c>
      <c r="O519" s="2">
        <v>451563</v>
      </c>
      <c r="P519" t="s">
        <v>24</v>
      </c>
      <c r="Q519" t="s">
        <v>24</v>
      </c>
    </row>
    <row r="520" spans="1:17" x14ac:dyDescent="0.25">
      <c r="A520" t="s">
        <v>2383</v>
      </c>
      <c r="B520" t="s">
        <v>2384</v>
      </c>
      <c r="C520" s="1">
        <v>41275</v>
      </c>
      <c r="D520" s="1">
        <v>41639</v>
      </c>
      <c r="E520" t="s">
        <v>1959</v>
      </c>
      <c r="G520" t="s">
        <v>829</v>
      </c>
      <c r="H520" t="s">
        <v>62</v>
      </c>
      <c r="I520" t="str">
        <f>"43699"</f>
        <v>43699</v>
      </c>
      <c r="J520" t="s">
        <v>22</v>
      </c>
      <c r="K520" t="s">
        <v>30</v>
      </c>
      <c r="L520" s="2">
        <v>13527005</v>
      </c>
      <c r="M520" s="2">
        <v>3066638</v>
      </c>
      <c r="N520" s="2">
        <v>0</v>
      </c>
      <c r="O520" s="2">
        <v>670327</v>
      </c>
      <c r="P520" t="s">
        <v>24</v>
      </c>
      <c r="Q520" t="s">
        <v>24</v>
      </c>
    </row>
    <row r="521" spans="1:17" x14ac:dyDescent="0.25">
      <c r="A521" t="s">
        <v>5319</v>
      </c>
      <c r="B521" t="s">
        <v>5320</v>
      </c>
      <c r="C521" s="1">
        <v>41275</v>
      </c>
      <c r="D521" s="1">
        <v>41639</v>
      </c>
      <c r="E521" t="s">
        <v>556</v>
      </c>
      <c r="G521" t="s">
        <v>167</v>
      </c>
      <c r="H521" t="s">
        <v>62</v>
      </c>
      <c r="I521" t="str">
        <f>"45201"</f>
        <v>45201</v>
      </c>
      <c r="J521" t="s">
        <v>22</v>
      </c>
      <c r="K521" t="s">
        <v>30</v>
      </c>
      <c r="L521" s="2">
        <v>13525882</v>
      </c>
      <c r="M521" s="2">
        <v>3703211</v>
      </c>
      <c r="N521" s="2">
        <v>0</v>
      </c>
      <c r="O521" s="2">
        <v>685718</v>
      </c>
      <c r="P521" t="s">
        <v>24</v>
      </c>
      <c r="Q521" t="s">
        <v>24</v>
      </c>
    </row>
    <row r="522" spans="1:17" x14ac:dyDescent="0.25">
      <c r="A522" t="s">
        <v>7521</v>
      </c>
      <c r="B522" t="s">
        <v>7522</v>
      </c>
      <c r="C522" s="1">
        <v>41306</v>
      </c>
      <c r="D522" s="1">
        <v>41670</v>
      </c>
      <c r="E522" t="s">
        <v>7523</v>
      </c>
      <c r="G522" t="s">
        <v>353</v>
      </c>
      <c r="H522" t="s">
        <v>62</v>
      </c>
      <c r="I522" t="str">
        <f>"43219"</f>
        <v>43219</v>
      </c>
      <c r="J522" t="s">
        <v>22</v>
      </c>
      <c r="K522" t="s">
        <v>23</v>
      </c>
      <c r="L522" s="2">
        <v>13492274</v>
      </c>
      <c r="M522" s="2">
        <v>3439855</v>
      </c>
      <c r="N522" s="2">
        <v>0</v>
      </c>
      <c r="O522" s="2">
        <v>768175</v>
      </c>
      <c r="P522" t="s">
        <v>24</v>
      </c>
      <c r="Q522" t="s">
        <v>24</v>
      </c>
    </row>
    <row r="523" spans="1:17" x14ac:dyDescent="0.25">
      <c r="A523" t="s">
        <v>2212</v>
      </c>
      <c r="B523" t="s">
        <v>2213</v>
      </c>
      <c r="C523" s="1">
        <v>41275</v>
      </c>
      <c r="D523" s="1">
        <v>41639</v>
      </c>
      <c r="E523" t="s">
        <v>2214</v>
      </c>
      <c r="G523" t="s">
        <v>337</v>
      </c>
      <c r="H523" t="s">
        <v>62</v>
      </c>
      <c r="I523" t="str">
        <f>"44135"</f>
        <v>44135</v>
      </c>
      <c r="J523" t="s">
        <v>22</v>
      </c>
      <c r="K523" t="s">
        <v>30</v>
      </c>
      <c r="L523" s="2">
        <v>13448068</v>
      </c>
      <c r="M523" s="2">
        <v>9334497</v>
      </c>
      <c r="N523" s="2">
        <v>0</v>
      </c>
      <c r="O523" s="2">
        <v>1120532</v>
      </c>
      <c r="P523" t="s">
        <v>24</v>
      </c>
      <c r="Q523" t="s">
        <v>24</v>
      </c>
    </row>
    <row r="524" spans="1:17" x14ac:dyDescent="0.25">
      <c r="A524" t="s">
        <v>4845</v>
      </c>
      <c r="B524" t="s">
        <v>4846</v>
      </c>
      <c r="C524" s="1">
        <v>41275</v>
      </c>
      <c r="D524" s="1">
        <v>41639</v>
      </c>
      <c r="E524" t="s">
        <v>4847</v>
      </c>
      <c r="G524" t="s">
        <v>1765</v>
      </c>
      <c r="H524" t="s">
        <v>21</v>
      </c>
      <c r="I524" t="str">
        <f>"47932"</f>
        <v>47932</v>
      </c>
      <c r="J524" t="s">
        <v>63</v>
      </c>
      <c r="K524" t="s">
        <v>64</v>
      </c>
      <c r="L524" s="2">
        <v>13442321</v>
      </c>
      <c r="M524" s="2">
        <v>1729601</v>
      </c>
      <c r="N524" s="2">
        <v>61325</v>
      </c>
      <c r="O524" s="2">
        <v>522020</v>
      </c>
      <c r="P524" s="2">
        <v>211305</v>
      </c>
      <c r="Q524" s="2">
        <v>5902</v>
      </c>
    </row>
    <row r="525" spans="1:17" x14ac:dyDescent="0.25">
      <c r="A525" t="s">
        <v>7719</v>
      </c>
      <c r="B525" t="s">
        <v>7720</v>
      </c>
      <c r="C525" s="1">
        <v>41275</v>
      </c>
      <c r="D525" s="1">
        <v>41639</v>
      </c>
      <c r="E525" t="s">
        <v>7721</v>
      </c>
      <c r="G525" t="s">
        <v>28</v>
      </c>
      <c r="H525" t="s">
        <v>29</v>
      </c>
      <c r="I525" t="str">
        <f>"60622"</f>
        <v>60622</v>
      </c>
      <c r="J525" t="s">
        <v>22</v>
      </c>
      <c r="K525" t="s">
        <v>23</v>
      </c>
      <c r="L525" s="2">
        <v>13349921</v>
      </c>
      <c r="M525" s="2">
        <v>644119</v>
      </c>
      <c r="N525" s="2">
        <v>0</v>
      </c>
      <c r="O525" s="2">
        <v>558002</v>
      </c>
      <c r="P525" t="s">
        <v>24</v>
      </c>
      <c r="Q525" t="s">
        <v>24</v>
      </c>
    </row>
    <row r="526" spans="1:17" x14ac:dyDescent="0.25">
      <c r="A526" t="s">
        <v>4118</v>
      </c>
      <c r="B526" t="s">
        <v>4119</v>
      </c>
      <c r="C526" s="1">
        <v>41275</v>
      </c>
      <c r="D526" s="1">
        <v>41639</v>
      </c>
      <c r="E526" t="s">
        <v>4120</v>
      </c>
      <c r="G526" t="s">
        <v>1028</v>
      </c>
      <c r="H526" t="s">
        <v>47</v>
      </c>
      <c r="I526" t="str">
        <f>"48104"</f>
        <v>48104</v>
      </c>
      <c r="J526" t="s">
        <v>22</v>
      </c>
      <c r="K526" t="s">
        <v>23</v>
      </c>
      <c r="L526" s="2">
        <v>13287244</v>
      </c>
      <c r="M526" s="2">
        <v>1337455</v>
      </c>
      <c r="N526" s="2">
        <v>0</v>
      </c>
      <c r="O526" s="2">
        <v>472204</v>
      </c>
      <c r="P526" t="s">
        <v>24</v>
      </c>
      <c r="Q526" t="s">
        <v>24</v>
      </c>
    </row>
    <row r="527" spans="1:17" x14ac:dyDescent="0.25">
      <c r="A527" t="s">
        <v>4560</v>
      </c>
      <c r="B527" t="s">
        <v>4561</v>
      </c>
      <c r="C527" s="1">
        <v>41518</v>
      </c>
      <c r="D527" s="1">
        <v>41882</v>
      </c>
      <c r="E527" t="s">
        <v>4562</v>
      </c>
      <c r="G527" t="s">
        <v>41</v>
      </c>
      <c r="H527" t="s">
        <v>42</v>
      </c>
      <c r="I527" t="str">
        <f>"53226"</f>
        <v>53226</v>
      </c>
      <c r="J527" t="s">
        <v>22</v>
      </c>
      <c r="K527" t="s">
        <v>30</v>
      </c>
      <c r="L527" s="2">
        <v>13279406</v>
      </c>
      <c r="M527" s="2">
        <v>5248122</v>
      </c>
      <c r="N527" s="2">
        <v>0</v>
      </c>
      <c r="O527" s="2">
        <v>664820</v>
      </c>
      <c r="P527" t="s">
        <v>24</v>
      </c>
      <c r="Q527" t="s">
        <v>24</v>
      </c>
    </row>
    <row r="528" spans="1:17" x14ac:dyDescent="0.25">
      <c r="A528" t="s">
        <v>5384</v>
      </c>
      <c r="B528" t="s">
        <v>5385</v>
      </c>
      <c r="C528" s="1">
        <v>41275</v>
      </c>
      <c r="D528" s="1">
        <v>41639</v>
      </c>
      <c r="E528" t="s">
        <v>5386</v>
      </c>
      <c r="G528" t="s">
        <v>1035</v>
      </c>
      <c r="H528" t="s">
        <v>47</v>
      </c>
      <c r="I528" t="str">
        <f>"49855"</f>
        <v>49855</v>
      </c>
      <c r="J528" t="s">
        <v>63</v>
      </c>
      <c r="K528" t="s">
        <v>64</v>
      </c>
      <c r="L528" s="2">
        <v>13248036</v>
      </c>
      <c r="M528" s="2">
        <v>1271577</v>
      </c>
      <c r="N528" s="2">
        <v>6509</v>
      </c>
      <c r="O528" s="2">
        <v>1085179</v>
      </c>
      <c r="P528" s="2">
        <v>87813</v>
      </c>
      <c r="Q528" s="2">
        <v>25814</v>
      </c>
    </row>
    <row r="529" spans="1:17" x14ac:dyDescent="0.25">
      <c r="A529" t="s">
        <v>1301</v>
      </c>
      <c r="B529" t="s">
        <v>1302</v>
      </c>
      <c r="C529" s="1">
        <v>40909</v>
      </c>
      <c r="D529" s="1">
        <v>41274</v>
      </c>
      <c r="E529" t="s">
        <v>1303</v>
      </c>
      <c r="G529" t="s">
        <v>20</v>
      </c>
      <c r="H529" t="s">
        <v>21</v>
      </c>
      <c r="I529" t="str">
        <f>"46268"</f>
        <v>46268</v>
      </c>
      <c r="J529" t="s">
        <v>22</v>
      </c>
      <c r="K529" t="s">
        <v>23</v>
      </c>
      <c r="L529" s="2">
        <v>13229036</v>
      </c>
      <c r="M529" s="2">
        <v>1930268</v>
      </c>
      <c r="N529" s="2">
        <v>0</v>
      </c>
      <c r="O529" s="2">
        <v>1089209</v>
      </c>
      <c r="P529" t="s">
        <v>24</v>
      </c>
      <c r="Q529" t="s">
        <v>24</v>
      </c>
    </row>
    <row r="530" spans="1:17" x14ac:dyDescent="0.25">
      <c r="A530" t="s">
        <v>7295</v>
      </c>
      <c r="B530" t="s">
        <v>7296</v>
      </c>
      <c r="C530" s="1">
        <v>41275</v>
      </c>
      <c r="D530" s="1">
        <v>41639</v>
      </c>
      <c r="E530" t="s">
        <v>7297</v>
      </c>
      <c r="G530" t="s">
        <v>215</v>
      </c>
      <c r="H530" t="s">
        <v>42</v>
      </c>
      <c r="I530" t="str">
        <f>"53511"</f>
        <v>53511</v>
      </c>
      <c r="J530" t="s">
        <v>22</v>
      </c>
      <c r="K530" t="s">
        <v>30</v>
      </c>
      <c r="L530" s="2">
        <v>13205913</v>
      </c>
      <c r="M530" s="2">
        <v>8751231</v>
      </c>
      <c r="N530" s="2">
        <v>0</v>
      </c>
      <c r="O530" s="2">
        <v>167857</v>
      </c>
      <c r="P530" t="s">
        <v>24</v>
      </c>
      <c r="Q530" t="s">
        <v>24</v>
      </c>
    </row>
    <row r="531" spans="1:17" x14ac:dyDescent="0.25">
      <c r="A531" t="s">
        <v>2376</v>
      </c>
      <c r="B531" t="s">
        <v>2377</v>
      </c>
      <c r="C531" s="1">
        <v>41275</v>
      </c>
      <c r="D531" s="1">
        <v>41639</v>
      </c>
      <c r="E531" t="s">
        <v>2378</v>
      </c>
      <c r="G531" t="s">
        <v>147</v>
      </c>
      <c r="H531" t="s">
        <v>62</v>
      </c>
      <c r="I531" t="str">
        <f>"44333"</f>
        <v>44333</v>
      </c>
      <c r="J531" t="s">
        <v>22</v>
      </c>
      <c r="K531" t="s">
        <v>30</v>
      </c>
      <c r="L531" s="2">
        <v>13202355</v>
      </c>
      <c r="M531" s="2">
        <v>11804797</v>
      </c>
      <c r="N531" s="2">
        <v>0</v>
      </c>
      <c r="O531" s="2">
        <v>1513070</v>
      </c>
      <c r="P531" t="s">
        <v>24</v>
      </c>
      <c r="Q531" t="s">
        <v>24</v>
      </c>
    </row>
    <row r="532" spans="1:17" x14ac:dyDescent="0.25">
      <c r="A532" t="s">
        <v>3628</v>
      </c>
      <c r="B532" t="s">
        <v>3629</v>
      </c>
      <c r="C532" s="1">
        <v>41275</v>
      </c>
      <c r="D532" s="1">
        <v>41639</v>
      </c>
      <c r="E532" t="s">
        <v>3630</v>
      </c>
      <c r="G532" t="s">
        <v>28</v>
      </c>
      <c r="H532" t="s">
        <v>29</v>
      </c>
      <c r="I532" t="str">
        <f>"60611"</f>
        <v>60611</v>
      </c>
      <c r="J532" t="s">
        <v>22</v>
      </c>
      <c r="K532" t="s">
        <v>23</v>
      </c>
      <c r="L532" s="2">
        <v>13182871</v>
      </c>
      <c r="M532" s="2">
        <v>3271045</v>
      </c>
      <c r="N532" s="2">
        <v>888101</v>
      </c>
      <c r="O532" s="2">
        <v>801629</v>
      </c>
      <c r="P532" t="s">
        <v>24</v>
      </c>
      <c r="Q532" t="s">
        <v>24</v>
      </c>
    </row>
    <row r="533" spans="1:17" x14ac:dyDescent="0.25">
      <c r="A533" t="s">
        <v>5869</v>
      </c>
      <c r="B533" t="s">
        <v>5870</v>
      </c>
      <c r="C533" s="1">
        <v>41183</v>
      </c>
      <c r="D533" s="1">
        <v>41547</v>
      </c>
      <c r="E533" t="s">
        <v>50</v>
      </c>
      <c r="G533" t="s">
        <v>28</v>
      </c>
      <c r="H533" t="s">
        <v>29</v>
      </c>
      <c r="I533" t="str">
        <f>"60603"</f>
        <v>60603</v>
      </c>
      <c r="J533" t="s">
        <v>22</v>
      </c>
      <c r="K533" t="s">
        <v>30</v>
      </c>
      <c r="L533" s="2">
        <v>13124417</v>
      </c>
      <c r="M533" s="2">
        <v>1571871</v>
      </c>
      <c r="N533" s="2">
        <v>0</v>
      </c>
      <c r="O533" s="2">
        <v>608314</v>
      </c>
      <c r="P533" t="s">
        <v>24</v>
      </c>
      <c r="Q533" t="s">
        <v>24</v>
      </c>
    </row>
    <row r="534" spans="1:17" x14ac:dyDescent="0.25">
      <c r="A534" t="s">
        <v>7575</v>
      </c>
      <c r="B534" t="s">
        <v>7576</v>
      </c>
      <c r="C534" s="1">
        <v>41275</v>
      </c>
      <c r="D534" s="1">
        <v>41639</v>
      </c>
      <c r="E534" t="s">
        <v>7577</v>
      </c>
      <c r="G534" t="s">
        <v>77</v>
      </c>
      <c r="H534" t="s">
        <v>78</v>
      </c>
      <c r="I534" t="str">
        <f>"40202"</f>
        <v>40202</v>
      </c>
      <c r="J534" t="s">
        <v>22</v>
      </c>
      <c r="K534" t="s">
        <v>30</v>
      </c>
      <c r="L534" s="2">
        <v>13079523</v>
      </c>
      <c r="M534" s="2">
        <v>1423774</v>
      </c>
      <c r="N534" s="2">
        <v>0</v>
      </c>
      <c r="O534" s="2">
        <v>472697</v>
      </c>
      <c r="P534" t="s">
        <v>24</v>
      </c>
      <c r="Q534" t="s">
        <v>24</v>
      </c>
    </row>
    <row r="535" spans="1:17" x14ac:dyDescent="0.25">
      <c r="A535" t="s">
        <v>6815</v>
      </c>
      <c r="B535" t="s">
        <v>6816</v>
      </c>
      <c r="C535" s="1">
        <v>41091</v>
      </c>
      <c r="D535" s="1">
        <v>41455</v>
      </c>
      <c r="E535" t="s">
        <v>6817</v>
      </c>
      <c r="G535" t="s">
        <v>512</v>
      </c>
      <c r="H535" t="s">
        <v>21</v>
      </c>
      <c r="I535" t="str">
        <f>"46516"</f>
        <v>46516</v>
      </c>
      <c r="J535" t="s">
        <v>22</v>
      </c>
      <c r="K535" t="s">
        <v>23</v>
      </c>
      <c r="L535" s="2">
        <v>13075746</v>
      </c>
      <c r="M535" s="2">
        <v>3314835</v>
      </c>
      <c r="N535" s="2">
        <v>0</v>
      </c>
      <c r="O535" s="2">
        <v>1645459</v>
      </c>
      <c r="P535" t="s">
        <v>24</v>
      </c>
      <c r="Q535" t="s">
        <v>24</v>
      </c>
    </row>
    <row r="536" spans="1:17" x14ac:dyDescent="0.25">
      <c r="A536" t="s">
        <v>226</v>
      </c>
      <c r="B536" t="s">
        <v>227</v>
      </c>
      <c r="C536" s="1">
        <v>41091</v>
      </c>
      <c r="D536" s="1">
        <v>41455</v>
      </c>
      <c r="E536" t="s">
        <v>228</v>
      </c>
      <c r="G536" t="s">
        <v>229</v>
      </c>
      <c r="H536" t="s">
        <v>29</v>
      </c>
      <c r="I536" t="str">
        <f>"61614"</f>
        <v>61614</v>
      </c>
      <c r="J536" t="s">
        <v>63</v>
      </c>
      <c r="K536" t="s">
        <v>23</v>
      </c>
      <c r="L536" s="2">
        <v>12988263</v>
      </c>
      <c r="M536" s="2">
        <v>1329823</v>
      </c>
      <c r="N536" s="2">
        <v>22518</v>
      </c>
      <c r="O536" s="2">
        <v>887255</v>
      </c>
      <c r="P536" s="2">
        <v>191674</v>
      </c>
      <c r="Q536" s="2">
        <v>0</v>
      </c>
    </row>
    <row r="537" spans="1:17" x14ac:dyDescent="0.25">
      <c r="A537" t="s">
        <v>2821</v>
      </c>
      <c r="B537" t="s">
        <v>2822</v>
      </c>
      <c r="C537" s="1">
        <v>41275</v>
      </c>
      <c r="D537" s="1">
        <v>41639</v>
      </c>
      <c r="E537" t="s">
        <v>2823</v>
      </c>
      <c r="G537" t="s">
        <v>2824</v>
      </c>
      <c r="H537" t="s">
        <v>62</v>
      </c>
      <c r="I537" t="str">
        <f>"45069"</f>
        <v>45069</v>
      </c>
      <c r="J537" t="s">
        <v>22</v>
      </c>
      <c r="K537" t="s">
        <v>23</v>
      </c>
      <c r="L537" s="2">
        <v>12956938</v>
      </c>
      <c r="M537" s="2">
        <v>1618959</v>
      </c>
      <c r="N537" s="2">
        <v>838436</v>
      </c>
      <c r="O537" s="2">
        <v>761555</v>
      </c>
      <c r="P537" t="s">
        <v>24</v>
      </c>
      <c r="Q537" t="s">
        <v>24</v>
      </c>
    </row>
    <row r="538" spans="1:17" x14ac:dyDescent="0.25">
      <c r="A538" t="s">
        <v>1025</v>
      </c>
      <c r="B538" t="s">
        <v>1026</v>
      </c>
      <c r="C538" s="1">
        <v>41275</v>
      </c>
      <c r="D538" s="1">
        <v>41639</v>
      </c>
      <c r="E538" t="s">
        <v>1027</v>
      </c>
      <c r="G538" t="s">
        <v>1028</v>
      </c>
      <c r="H538" t="s">
        <v>47</v>
      </c>
      <c r="I538" t="str">
        <f>"48104"</f>
        <v>48104</v>
      </c>
      <c r="J538" t="s">
        <v>22</v>
      </c>
      <c r="K538" t="s">
        <v>23</v>
      </c>
      <c r="L538" s="2">
        <v>12953313</v>
      </c>
      <c r="M538" s="2">
        <v>2863748</v>
      </c>
      <c r="N538" s="2">
        <v>0</v>
      </c>
      <c r="O538" s="2">
        <v>722369</v>
      </c>
      <c r="P538" t="s">
        <v>24</v>
      </c>
      <c r="Q538" t="s">
        <v>24</v>
      </c>
    </row>
    <row r="539" spans="1:17" x14ac:dyDescent="0.25">
      <c r="A539" t="s">
        <v>5929</v>
      </c>
      <c r="B539" t="s">
        <v>5930</v>
      </c>
      <c r="C539" s="1">
        <v>41275</v>
      </c>
      <c r="D539" s="1">
        <v>41639</v>
      </c>
      <c r="E539" t="s">
        <v>5931</v>
      </c>
      <c r="G539" t="s">
        <v>1934</v>
      </c>
      <c r="H539" t="s">
        <v>47</v>
      </c>
      <c r="I539" t="str">
        <f>"49046"</f>
        <v>49046</v>
      </c>
      <c r="J539" t="s">
        <v>22</v>
      </c>
      <c r="K539" t="s">
        <v>23</v>
      </c>
      <c r="L539" s="2">
        <v>12784982</v>
      </c>
      <c r="M539" s="2">
        <v>7952737</v>
      </c>
      <c r="N539" s="2">
        <v>0</v>
      </c>
      <c r="O539" s="2">
        <v>501278</v>
      </c>
      <c r="P539" t="s">
        <v>24</v>
      </c>
      <c r="Q539" t="s">
        <v>24</v>
      </c>
    </row>
    <row r="540" spans="1:17" x14ac:dyDescent="0.25">
      <c r="A540" t="s">
        <v>2995</v>
      </c>
      <c r="B540" t="s">
        <v>2996</v>
      </c>
      <c r="C540" s="1">
        <v>41275</v>
      </c>
      <c r="D540" s="1">
        <v>41639</v>
      </c>
      <c r="E540" t="s">
        <v>489</v>
      </c>
      <c r="G540" t="s">
        <v>337</v>
      </c>
      <c r="H540" t="s">
        <v>62</v>
      </c>
      <c r="I540" t="str">
        <f>"44101"</f>
        <v>44101</v>
      </c>
      <c r="J540" t="s">
        <v>22</v>
      </c>
      <c r="K540" t="s">
        <v>30</v>
      </c>
      <c r="L540" s="2">
        <v>12778286</v>
      </c>
      <c r="M540" s="2">
        <v>6522225</v>
      </c>
      <c r="N540" s="2">
        <v>0</v>
      </c>
      <c r="O540" s="2">
        <v>114571</v>
      </c>
      <c r="P540" t="s">
        <v>24</v>
      </c>
      <c r="Q540" t="s">
        <v>24</v>
      </c>
    </row>
    <row r="541" spans="1:17" x14ac:dyDescent="0.25">
      <c r="A541" t="s">
        <v>74</v>
      </c>
      <c r="B541" t="s">
        <v>75</v>
      </c>
      <c r="C541" s="1">
        <v>41456</v>
      </c>
      <c r="D541" s="1">
        <v>41820</v>
      </c>
      <c r="E541" t="s">
        <v>76</v>
      </c>
      <c r="G541" t="s">
        <v>77</v>
      </c>
      <c r="H541" t="s">
        <v>78</v>
      </c>
      <c r="I541" t="str">
        <f>"40206"</f>
        <v>40206</v>
      </c>
      <c r="J541" t="s">
        <v>63</v>
      </c>
      <c r="K541" t="s">
        <v>79</v>
      </c>
      <c r="L541" s="2">
        <v>12775168</v>
      </c>
      <c r="M541" s="2">
        <v>1183984</v>
      </c>
      <c r="N541" s="2">
        <v>100260</v>
      </c>
      <c r="O541" s="2">
        <v>563916</v>
      </c>
      <c r="P541" s="2">
        <v>163566</v>
      </c>
      <c r="Q541" s="2">
        <v>90544</v>
      </c>
    </row>
    <row r="542" spans="1:17" x14ac:dyDescent="0.25">
      <c r="A542" t="s">
        <v>803</v>
      </c>
      <c r="B542" t="s">
        <v>804</v>
      </c>
      <c r="C542" s="1">
        <v>41275</v>
      </c>
      <c r="D542" s="1">
        <v>41639</v>
      </c>
      <c r="E542" t="s">
        <v>805</v>
      </c>
      <c r="G542" t="s">
        <v>20</v>
      </c>
      <c r="H542" t="s">
        <v>21</v>
      </c>
      <c r="I542" t="str">
        <f>"46240"</f>
        <v>46240</v>
      </c>
      <c r="J542" t="s">
        <v>22</v>
      </c>
      <c r="K542" t="s">
        <v>23</v>
      </c>
      <c r="L542" s="2">
        <v>12761122</v>
      </c>
      <c r="M542" s="2">
        <v>4536273</v>
      </c>
      <c r="N542" s="2">
        <v>0</v>
      </c>
      <c r="O542" s="2">
        <v>587678</v>
      </c>
      <c r="P542" t="s">
        <v>24</v>
      </c>
      <c r="Q542" t="s">
        <v>24</v>
      </c>
    </row>
    <row r="543" spans="1:17" x14ac:dyDescent="0.25">
      <c r="A543" t="s">
        <v>4605</v>
      </c>
      <c r="B543" t="s">
        <v>4606</v>
      </c>
      <c r="C543" s="1">
        <v>41061</v>
      </c>
      <c r="D543" s="1">
        <v>41425</v>
      </c>
      <c r="E543" t="s">
        <v>4607</v>
      </c>
      <c r="G543" t="s">
        <v>167</v>
      </c>
      <c r="H543" t="s">
        <v>62</v>
      </c>
      <c r="I543" t="str">
        <f>"45202"</f>
        <v>45202</v>
      </c>
      <c r="J543" t="s">
        <v>22</v>
      </c>
      <c r="K543" t="s">
        <v>30</v>
      </c>
      <c r="L543" s="2">
        <v>12760550</v>
      </c>
      <c r="M543" s="2">
        <v>7673306</v>
      </c>
      <c r="N543" s="2">
        <v>0</v>
      </c>
      <c r="O543" s="2">
        <v>611521</v>
      </c>
      <c r="P543" t="s">
        <v>24</v>
      </c>
      <c r="Q543" t="s">
        <v>24</v>
      </c>
    </row>
    <row r="544" spans="1:17" x14ac:dyDescent="0.25">
      <c r="A544" t="s">
        <v>7759</v>
      </c>
      <c r="B544" t="s">
        <v>7760</v>
      </c>
      <c r="C544" s="1">
        <v>41275</v>
      </c>
      <c r="D544" s="1">
        <v>41639</v>
      </c>
      <c r="E544" t="s">
        <v>7761</v>
      </c>
      <c r="G544" t="s">
        <v>77</v>
      </c>
      <c r="H544" t="s">
        <v>78</v>
      </c>
      <c r="I544" t="str">
        <f>"40223"</f>
        <v>40223</v>
      </c>
      <c r="J544" t="s">
        <v>22</v>
      </c>
      <c r="K544" t="s">
        <v>91</v>
      </c>
      <c r="L544" s="2">
        <v>12742361</v>
      </c>
      <c r="M544" s="2">
        <v>3816421</v>
      </c>
      <c r="N544" s="2">
        <v>0</v>
      </c>
      <c r="O544" s="2">
        <v>524581</v>
      </c>
      <c r="P544" t="s">
        <v>24</v>
      </c>
      <c r="Q544" t="s">
        <v>24</v>
      </c>
    </row>
    <row r="545" spans="1:17" x14ac:dyDescent="0.25">
      <c r="A545" t="s">
        <v>6818</v>
      </c>
      <c r="B545" t="s">
        <v>6819</v>
      </c>
      <c r="C545" s="1">
        <v>41091</v>
      </c>
      <c r="D545" s="1">
        <v>41455</v>
      </c>
      <c r="E545" t="s">
        <v>6820</v>
      </c>
      <c r="G545" t="s">
        <v>86</v>
      </c>
      <c r="H545" t="s">
        <v>42</v>
      </c>
      <c r="I545" t="str">
        <f>"53703"</f>
        <v>53703</v>
      </c>
      <c r="J545" t="s">
        <v>63</v>
      </c>
      <c r="K545" t="s">
        <v>30</v>
      </c>
      <c r="L545" s="2">
        <v>12731993</v>
      </c>
      <c r="M545" s="2">
        <v>1281933</v>
      </c>
      <c r="N545" s="2">
        <v>0</v>
      </c>
      <c r="O545" s="2">
        <v>550295</v>
      </c>
      <c r="P545" s="2">
        <v>35895</v>
      </c>
      <c r="Q545" s="2">
        <v>0</v>
      </c>
    </row>
    <row r="546" spans="1:17" x14ac:dyDescent="0.25">
      <c r="A546" t="s">
        <v>1289</v>
      </c>
      <c r="B546" t="s">
        <v>1290</v>
      </c>
      <c r="C546" s="1">
        <v>41091</v>
      </c>
      <c r="D546" s="1">
        <v>41455</v>
      </c>
      <c r="E546" t="s">
        <v>1291</v>
      </c>
      <c r="G546" t="s">
        <v>20</v>
      </c>
      <c r="H546" t="s">
        <v>21</v>
      </c>
      <c r="I546" t="str">
        <f>"46280"</f>
        <v>46280</v>
      </c>
      <c r="J546" t="s">
        <v>22</v>
      </c>
      <c r="K546" t="s">
        <v>91</v>
      </c>
      <c r="L546" s="2">
        <v>12698255</v>
      </c>
      <c r="M546" s="2">
        <v>11465805</v>
      </c>
      <c r="N546" s="2">
        <v>0</v>
      </c>
      <c r="O546" s="2">
        <v>912071</v>
      </c>
      <c r="P546" t="s">
        <v>24</v>
      </c>
      <c r="Q546" t="s">
        <v>24</v>
      </c>
    </row>
    <row r="547" spans="1:17" x14ac:dyDescent="0.25">
      <c r="A547" t="s">
        <v>7153</v>
      </c>
      <c r="B547" t="s">
        <v>7154</v>
      </c>
      <c r="C547" s="1">
        <v>41456</v>
      </c>
      <c r="D547" s="1">
        <v>41820</v>
      </c>
      <c r="E547" t="s">
        <v>7155</v>
      </c>
      <c r="G547" t="s">
        <v>1352</v>
      </c>
      <c r="H547" t="s">
        <v>62</v>
      </c>
      <c r="I547" t="str">
        <f>"43054"</f>
        <v>43054</v>
      </c>
      <c r="J547" t="s">
        <v>63</v>
      </c>
      <c r="K547" t="s">
        <v>79</v>
      </c>
      <c r="L547" s="2">
        <v>12677154</v>
      </c>
      <c r="M547" s="2">
        <v>3865927</v>
      </c>
      <c r="N547" s="2">
        <v>250160</v>
      </c>
      <c r="O547" s="2">
        <v>3088690</v>
      </c>
      <c r="P547" s="2">
        <v>48423</v>
      </c>
      <c r="Q547" s="2">
        <v>240467</v>
      </c>
    </row>
    <row r="548" spans="1:17" x14ac:dyDescent="0.25">
      <c r="A548" t="s">
        <v>7364</v>
      </c>
      <c r="B548" t="s">
        <v>7365</v>
      </c>
      <c r="C548" s="1">
        <v>41275</v>
      </c>
      <c r="D548" s="1">
        <v>41639</v>
      </c>
      <c r="E548" t="s">
        <v>104</v>
      </c>
      <c r="G548" t="s">
        <v>28</v>
      </c>
      <c r="H548" t="s">
        <v>29</v>
      </c>
      <c r="I548" t="str">
        <f>"60680"</f>
        <v>60680</v>
      </c>
      <c r="J548" t="s">
        <v>22</v>
      </c>
      <c r="K548" t="s">
        <v>23</v>
      </c>
      <c r="L548" s="2">
        <v>12648786</v>
      </c>
      <c r="M548" s="2">
        <v>6523318</v>
      </c>
      <c r="N548" s="2">
        <v>0</v>
      </c>
      <c r="O548" s="2">
        <v>733652</v>
      </c>
      <c r="P548" t="s">
        <v>24</v>
      </c>
      <c r="Q548" t="s">
        <v>24</v>
      </c>
    </row>
    <row r="549" spans="1:17" x14ac:dyDescent="0.25">
      <c r="A549" t="s">
        <v>3368</v>
      </c>
      <c r="B549" t="s">
        <v>3369</v>
      </c>
      <c r="E549" t="s">
        <v>3370</v>
      </c>
      <c r="G549" t="s">
        <v>28</v>
      </c>
      <c r="H549" t="s">
        <v>29</v>
      </c>
      <c r="I549" t="str">
        <f>"60697"</f>
        <v>60697</v>
      </c>
      <c r="J549" t="s">
        <v>63</v>
      </c>
      <c r="K549" t="s">
        <v>64</v>
      </c>
      <c r="L549" s="2">
        <v>12633171</v>
      </c>
      <c r="M549" s="2">
        <v>1626007</v>
      </c>
      <c r="N549" s="2">
        <v>0</v>
      </c>
      <c r="O549" s="2">
        <v>261850</v>
      </c>
      <c r="P549" s="2">
        <v>3031</v>
      </c>
      <c r="Q549" t="s">
        <v>24</v>
      </c>
    </row>
    <row r="550" spans="1:17" x14ac:dyDescent="0.25">
      <c r="A550" t="s">
        <v>6672</v>
      </c>
      <c r="B550" t="s">
        <v>6673</v>
      </c>
      <c r="C550" s="1">
        <v>41487</v>
      </c>
      <c r="D550" s="1">
        <v>41851</v>
      </c>
      <c r="E550" t="s">
        <v>6674</v>
      </c>
      <c r="G550" t="s">
        <v>86</v>
      </c>
      <c r="H550" t="s">
        <v>42</v>
      </c>
      <c r="I550" t="str">
        <f>"53701"</f>
        <v>53701</v>
      </c>
      <c r="J550" t="s">
        <v>22</v>
      </c>
      <c r="K550" t="s">
        <v>30</v>
      </c>
      <c r="L550" s="2">
        <v>12589313</v>
      </c>
      <c r="M550" s="2">
        <v>2297722</v>
      </c>
      <c r="N550" s="2">
        <v>0</v>
      </c>
      <c r="O550" s="2">
        <v>703950</v>
      </c>
      <c r="P550" t="s">
        <v>24</v>
      </c>
      <c r="Q550" t="s">
        <v>24</v>
      </c>
    </row>
    <row r="551" spans="1:17" x14ac:dyDescent="0.25">
      <c r="A551" t="s">
        <v>3593</v>
      </c>
      <c r="B551" t="s">
        <v>3594</v>
      </c>
      <c r="C551" s="1">
        <v>41548</v>
      </c>
      <c r="D551" s="1">
        <v>41912</v>
      </c>
      <c r="E551" t="s">
        <v>3595</v>
      </c>
      <c r="G551" t="s">
        <v>3596</v>
      </c>
      <c r="H551" t="s">
        <v>47</v>
      </c>
      <c r="I551" t="str">
        <f>"49068"</f>
        <v>49068</v>
      </c>
      <c r="J551" t="s">
        <v>63</v>
      </c>
      <c r="K551" t="s">
        <v>64</v>
      </c>
      <c r="L551" s="2">
        <v>12585520</v>
      </c>
      <c r="M551" s="2">
        <v>1675986</v>
      </c>
      <c r="N551" s="2">
        <v>0</v>
      </c>
      <c r="O551" s="2">
        <v>835930</v>
      </c>
      <c r="P551" s="2">
        <v>31943</v>
      </c>
      <c r="Q551" s="2">
        <v>15972</v>
      </c>
    </row>
    <row r="552" spans="1:17" x14ac:dyDescent="0.25">
      <c r="A552" t="s">
        <v>6917</v>
      </c>
      <c r="B552" t="s">
        <v>6918</v>
      </c>
      <c r="C552" s="1">
        <v>41275</v>
      </c>
      <c r="D552" s="1">
        <v>41639</v>
      </c>
      <c r="E552" t="s">
        <v>6919</v>
      </c>
      <c r="G552" t="s">
        <v>77</v>
      </c>
      <c r="H552" t="s">
        <v>78</v>
      </c>
      <c r="I552" t="str">
        <f>"40202"</f>
        <v>40202</v>
      </c>
      <c r="J552" t="s">
        <v>22</v>
      </c>
      <c r="K552" t="s">
        <v>23</v>
      </c>
      <c r="L552" s="2">
        <v>12533481</v>
      </c>
      <c r="M552" s="2">
        <v>317612</v>
      </c>
      <c r="N552" s="2">
        <v>0</v>
      </c>
      <c r="O552" s="2">
        <v>875165</v>
      </c>
      <c r="P552" t="s">
        <v>24</v>
      </c>
      <c r="Q552" t="s">
        <v>24</v>
      </c>
    </row>
    <row r="553" spans="1:17" x14ac:dyDescent="0.25">
      <c r="A553" t="s">
        <v>2853</v>
      </c>
      <c r="B553" t="s">
        <v>2854</v>
      </c>
      <c r="C553" s="1">
        <v>41456</v>
      </c>
      <c r="D553" s="1">
        <v>41820</v>
      </c>
      <c r="E553" t="s">
        <v>678</v>
      </c>
      <c r="G553" t="s">
        <v>28</v>
      </c>
      <c r="H553" t="s">
        <v>29</v>
      </c>
      <c r="I553" t="str">
        <f>"60603"</f>
        <v>60603</v>
      </c>
      <c r="J553" t="s">
        <v>22</v>
      </c>
      <c r="K553" t="s">
        <v>23</v>
      </c>
      <c r="L553" s="2">
        <v>12497996</v>
      </c>
      <c r="M553" s="2">
        <v>6032894</v>
      </c>
      <c r="N553" s="2">
        <v>0</v>
      </c>
      <c r="O553" s="2">
        <v>625353</v>
      </c>
      <c r="P553" t="s">
        <v>24</v>
      </c>
      <c r="Q553" t="s">
        <v>24</v>
      </c>
    </row>
    <row r="554" spans="1:17" x14ac:dyDescent="0.25">
      <c r="A554" t="s">
        <v>4354</v>
      </c>
      <c r="B554" t="s">
        <v>4355</v>
      </c>
      <c r="C554" s="1">
        <v>41275</v>
      </c>
      <c r="D554" s="1">
        <v>41639</v>
      </c>
      <c r="E554" t="s">
        <v>1220</v>
      </c>
      <c r="G554" t="s">
        <v>139</v>
      </c>
      <c r="H554" t="s">
        <v>47</v>
      </c>
      <c r="I554" t="str">
        <f>"49503"</f>
        <v>49503</v>
      </c>
      <c r="J554" t="s">
        <v>22</v>
      </c>
      <c r="K554" t="s">
        <v>23</v>
      </c>
      <c r="L554" s="2">
        <v>12441321</v>
      </c>
      <c r="M554" s="2">
        <v>4383178</v>
      </c>
      <c r="N554" s="2">
        <v>0</v>
      </c>
      <c r="O554" s="2">
        <v>64808</v>
      </c>
      <c r="P554" t="s">
        <v>24</v>
      </c>
      <c r="Q554" t="s">
        <v>24</v>
      </c>
    </row>
    <row r="555" spans="1:17" x14ac:dyDescent="0.25">
      <c r="A555" t="s">
        <v>6507</v>
      </c>
      <c r="B555" t="s">
        <v>6508</v>
      </c>
      <c r="C555" s="1">
        <v>41275</v>
      </c>
      <c r="D555" s="1">
        <v>41639</v>
      </c>
      <c r="E555" t="s">
        <v>367</v>
      </c>
      <c r="G555" t="s">
        <v>28</v>
      </c>
      <c r="H555" t="s">
        <v>29</v>
      </c>
      <c r="I555" t="str">
        <f>"60606"</f>
        <v>60606</v>
      </c>
      <c r="J555" t="s">
        <v>22</v>
      </c>
      <c r="K555" t="s">
        <v>30</v>
      </c>
      <c r="L555" s="2">
        <v>12436994</v>
      </c>
      <c r="M555" s="2">
        <v>7303270</v>
      </c>
      <c r="N555" s="2">
        <v>0</v>
      </c>
      <c r="O555" s="2">
        <v>2639366</v>
      </c>
      <c r="P555" t="s">
        <v>24</v>
      </c>
      <c r="Q555" t="s">
        <v>24</v>
      </c>
    </row>
    <row r="556" spans="1:17" x14ac:dyDescent="0.25">
      <c r="A556" t="s">
        <v>5186</v>
      </c>
      <c r="B556" t="s">
        <v>5187</v>
      </c>
      <c r="C556" s="1">
        <v>41275</v>
      </c>
      <c r="D556" s="1">
        <v>41639</v>
      </c>
      <c r="E556" t="s">
        <v>5188</v>
      </c>
      <c r="F556" t="s">
        <v>5189</v>
      </c>
      <c r="G556" t="s">
        <v>5190</v>
      </c>
      <c r="H556" t="s">
        <v>21</v>
      </c>
      <c r="I556" t="str">
        <f>"46761"</f>
        <v>46761</v>
      </c>
      <c r="J556" t="s">
        <v>63</v>
      </c>
      <c r="K556" t="s">
        <v>64</v>
      </c>
      <c r="L556" s="2">
        <v>12409532</v>
      </c>
      <c r="M556" s="2">
        <v>1312494</v>
      </c>
      <c r="N556" s="2">
        <v>81190</v>
      </c>
      <c r="O556" s="2">
        <v>831534</v>
      </c>
      <c r="P556" s="2">
        <v>191677</v>
      </c>
      <c r="Q556" s="2">
        <v>30719</v>
      </c>
    </row>
    <row r="557" spans="1:17" x14ac:dyDescent="0.25">
      <c r="A557" t="s">
        <v>2171</v>
      </c>
      <c r="B557" t="s">
        <v>2172</v>
      </c>
      <c r="C557" s="1">
        <v>41275</v>
      </c>
      <c r="D557" s="1">
        <v>41639</v>
      </c>
      <c r="E557" t="s">
        <v>50</v>
      </c>
      <c r="G557" t="s">
        <v>28</v>
      </c>
      <c r="H557" t="s">
        <v>29</v>
      </c>
      <c r="I557" t="str">
        <f>"60603"</f>
        <v>60603</v>
      </c>
      <c r="J557" t="s">
        <v>22</v>
      </c>
      <c r="K557" t="s">
        <v>79</v>
      </c>
      <c r="L557" s="2">
        <v>12309489</v>
      </c>
      <c r="M557" s="2">
        <v>5778197</v>
      </c>
      <c r="N557" s="2">
        <v>0</v>
      </c>
      <c r="O557" s="2">
        <v>375355</v>
      </c>
      <c r="P557" t="s">
        <v>24</v>
      </c>
      <c r="Q557" t="s">
        <v>24</v>
      </c>
    </row>
    <row r="558" spans="1:17" x14ac:dyDescent="0.25">
      <c r="A558" t="s">
        <v>2581</v>
      </c>
      <c r="B558" t="s">
        <v>2582</v>
      </c>
      <c r="C558" s="1">
        <v>41275</v>
      </c>
      <c r="D558" s="1">
        <v>41639</v>
      </c>
      <c r="E558" t="s">
        <v>2583</v>
      </c>
      <c r="G558" t="s">
        <v>659</v>
      </c>
      <c r="H558" t="s">
        <v>47</v>
      </c>
      <c r="I558" t="str">
        <f>"48033"</f>
        <v>48033</v>
      </c>
      <c r="J558" t="s">
        <v>22</v>
      </c>
      <c r="K558" t="s">
        <v>91</v>
      </c>
      <c r="L558" s="2">
        <v>12298696</v>
      </c>
      <c r="M558" s="2">
        <v>1253860</v>
      </c>
      <c r="N558" s="2">
        <v>0</v>
      </c>
      <c r="O558" s="2">
        <v>665045</v>
      </c>
      <c r="P558" t="s">
        <v>24</v>
      </c>
      <c r="Q558" t="s">
        <v>24</v>
      </c>
    </row>
    <row r="559" spans="1:17" x14ac:dyDescent="0.25">
      <c r="A559" t="s">
        <v>6152</v>
      </c>
      <c r="B559" t="s">
        <v>6153</v>
      </c>
      <c r="C559" s="1">
        <v>41275</v>
      </c>
      <c r="D559" s="1">
        <v>41639</v>
      </c>
      <c r="E559" t="s">
        <v>6154</v>
      </c>
      <c r="G559" t="s">
        <v>6155</v>
      </c>
      <c r="H559" t="s">
        <v>47</v>
      </c>
      <c r="I559" t="str">
        <f>"49417"</f>
        <v>49417</v>
      </c>
      <c r="J559" t="s">
        <v>63</v>
      </c>
      <c r="K559" t="s">
        <v>30</v>
      </c>
      <c r="L559" s="2">
        <v>12280552</v>
      </c>
      <c r="M559" s="2">
        <v>334330</v>
      </c>
      <c r="N559" s="2">
        <v>43750</v>
      </c>
      <c r="O559" s="2">
        <v>375185</v>
      </c>
      <c r="P559" s="2">
        <v>77727</v>
      </c>
      <c r="Q559" s="2">
        <v>0</v>
      </c>
    </row>
    <row r="560" spans="1:17" x14ac:dyDescent="0.25">
      <c r="A560" t="s">
        <v>1995</v>
      </c>
      <c r="B560" t="s">
        <v>1996</v>
      </c>
      <c r="C560" s="1">
        <v>41275</v>
      </c>
      <c r="D560" s="1">
        <v>41639</v>
      </c>
      <c r="E560" t="s">
        <v>1997</v>
      </c>
      <c r="G560" t="s">
        <v>1998</v>
      </c>
      <c r="H560" t="s">
        <v>62</v>
      </c>
      <c r="I560" t="str">
        <f>"44073"</f>
        <v>44073</v>
      </c>
      <c r="J560" t="s">
        <v>63</v>
      </c>
      <c r="K560" t="s">
        <v>79</v>
      </c>
      <c r="L560" s="2">
        <v>12270469</v>
      </c>
      <c r="M560" s="2">
        <v>1632184</v>
      </c>
      <c r="N560" s="2">
        <v>842090</v>
      </c>
      <c r="O560" s="2">
        <v>1291537</v>
      </c>
      <c r="P560" s="2">
        <v>0</v>
      </c>
      <c r="Q560" s="2">
        <v>75220</v>
      </c>
    </row>
    <row r="561" spans="1:17" x14ac:dyDescent="0.25">
      <c r="A561" t="s">
        <v>3755</v>
      </c>
      <c r="B561" t="s">
        <v>3756</v>
      </c>
      <c r="C561" s="1">
        <v>41091</v>
      </c>
      <c r="D561" s="1">
        <v>41455</v>
      </c>
      <c r="E561" t="s">
        <v>705</v>
      </c>
      <c r="G561" t="s">
        <v>77</v>
      </c>
      <c r="H561" t="s">
        <v>78</v>
      </c>
      <c r="I561" t="str">
        <f>"40202"</f>
        <v>40202</v>
      </c>
      <c r="J561" t="s">
        <v>63</v>
      </c>
      <c r="K561" t="s">
        <v>64</v>
      </c>
      <c r="L561" s="2">
        <v>12255279</v>
      </c>
      <c r="M561" s="2">
        <v>9783946</v>
      </c>
      <c r="N561" s="2">
        <v>35084</v>
      </c>
      <c r="O561" s="2">
        <v>8657571</v>
      </c>
      <c r="P561" s="2">
        <v>36259</v>
      </c>
      <c r="Q561" s="2">
        <v>0</v>
      </c>
    </row>
    <row r="562" spans="1:17" x14ac:dyDescent="0.25">
      <c r="A562" t="s">
        <v>2298</v>
      </c>
      <c r="B562" t="s">
        <v>2299</v>
      </c>
      <c r="C562" s="1">
        <v>41275</v>
      </c>
      <c r="D562" s="1">
        <v>41639</v>
      </c>
      <c r="E562" t="s">
        <v>2300</v>
      </c>
      <c r="G562" t="s">
        <v>143</v>
      </c>
      <c r="H562" t="s">
        <v>47</v>
      </c>
      <c r="I562" t="str">
        <f>"48226"</f>
        <v>48226</v>
      </c>
      <c r="J562" t="s">
        <v>22</v>
      </c>
      <c r="K562" t="s">
        <v>30</v>
      </c>
      <c r="L562" s="2">
        <v>12254047</v>
      </c>
      <c r="M562" s="2">
        <v>3714974</v>
      </c>
      <c r="N562" s="2">
        <v>0</v>
      </c>
      <c r="O562" s="2">
        <v>594705</v>
      </c>
      <c r="P562" t="s">
        <v>24</v>
      </c>
      <c r="Q562" t="s">
        <v>24</v>
      </c>
    </row>
    <row r="563" spans="1:17" x14ac:dyDescent="0.25">
      <c r="A563" t="s">
        <v>1860</v>
      </c>
      <c r="B563" t="s">
        <v>1861</v>
      </c>
      <c r="C563" s="1">
        <v>41275</v>
      </c>
      <c r="D563" s="1">
        <v>41639</v>
      </c>
      <c r="E563" t="s">
        <v>163</v>
      </c>
      <c r="G563" t="s">
        <v>28</v>
      </c>
      <c r="H563" t="s">
        <v>29</v>
      </c>
      <c r="I563" t="str">
        <f>"60603"</f>
        <v>60603</v>
      </c>
      <c r="J563" t="s">
        <v>22</v>
      </c>
      <c r="K563" t="s">
        <v>91</v>
      </c>
      <c r="L563" s="2">
        <v>12230923</v>
      </c>
      <c r="M563" s="2">
        <v>3834448</v>
      </c>
      <c r="N563" s="2">
        <v>13263</v>
      </c>
      <c r="O563" s="2">
        <v>680194</v>
      </c>
      <c r="P563" t="s">
        <v>24</v>
      </c>
      <c r="Q563" t="s">
        <v>24</v>
      </c>
    </row>
    <row r="564" spans="1:17" x14ac:dyDescent="0.25">
      <c r="A564" t="s">
        <v>7530</v>
      </c>
      <c r="B564" t="s">
        <v>7531</v>
      </c>
      <c r="C564" s="1">
        <v>41275</v>
      </c>
      <c r="D564" s="1">
        <v>41639</v>
      </c>
      <c r="E564" t="s">
        <v>7532</v>
      </c>
      <c r="G564" t="s">
        <v>1517</v>
      </c>
      <c r="H564" t="s">
        <v>29</v>
      </c>
      <c r="I564" t="str">
        <f>"60173"</f>
        <v>60173</v>
      </c>
      <c r="J564" t="s">
        <v>22</v>
      </c>
      <c r="K564" t="s">
        <v>23</v>
      </c>
      <c r="L564" s="2">
        <v>12196672</v>
      </c>
      <c r="M564" s="2">
        <v>3200063</v>
      </c>
      <c r="N564" s="2">
        <v>0</v>
      </c>
      <c r="O564" s="2">
        <v>680673</v>
      </c>
      <c r="P564" t="s">
        <v>24</v>
      </c>
      <c r="Q564" t="s">
        <v>24</v>
      </c>
    </row>
    <row r="565" spans="1:17" x14ac:dyDescent="0.25">
      <c r="A565" t="s">
        <v>1258</v>
      </c>
      <c r="B565" t="s">
        <v>1259</v>
      </c>
      <c r="C565" s="1">
        <v>40909</v>
      </c>
      <c r="D565" s="1">
        <v>41274</v>
      </c>
      <c r="E565" t="s">
        <v>1260</v>
      </c>
      <c r="G565" t="s">
        <v>1261</v>
      </c>
      <c r="H565" t="s">
        <v>62</v>
      </c>
      <c r="I565" t="str">
        <f>"44026"</f>
        <v>44026</v>
      </c>
      <c r="J565" t="s">
        <v>22</v>
      </c>
      <c r="K565" t="s">
        <v>23</v>
      </c>
      <c r="L565" s="2">
        <v>12153105</v>
      </c>
      <c r="M565" s="2">
        <v>7549801</v>
      </c>
      <c r="N565" s="2">
        <v>0</v>
      </c>
      <c r="O565" s="2">
        <v>2970908</v>
      </c>
      <c r="P565" t="s">
        <v>24</v>
      </c>
      <c r="Q565" t="s">
        <v>24</v>
      </c>
    </row>
    <row r="566" spans="1:17" x14ac:dyDescent="0.25">
      <c r="A566" t="s">
        <v>1036</v>
      </c>
      <c r="B566" t="s">
        <v>1037</v>
      </c>
      <c r="C566" s="1">
        <v>41275</v>
      </c>
      <c r="D566" s="1">
        <v>41639</v>
      </c>
      <c r="E566" t="s">
        <v>1038</v>
      </c>
      <c r="G566" t="s">
        <v>843</v>
      </c>
      <c r="H566" t="s">
        <v>47</v>
      </c>
      <c r="I566" t="str">
        <f>"49341"</f>
        <v>49341</v>
      </c>
      <c r="J566" t="s">
        <v>22</v>
      </c>
      <c r="K566" t="s">
        <v>23</v>
      </c>
      <c r="L566" s="2">
        <v>12115885</v>
      </c>
      <c r="M566" s="2">
        <v>304814</v>
      </c>
      <c r="N566" s="2">
        <v>0</v>
      </c>
      <c r="O566" s="2">
        <v>272892</v>
      </c>
      <c r="P566" t="s">
        <v>24</v>
      </c>
      <c r="Q566" t="s">
        <v>24</v>
      </c>
    </row>
    <row r="567" spans="1:17" x14ac:dyDescent="0.25">
      <c r="A567" t="s">
        <v>1163</v>
      </c>
      <c r="B567" t="s">
        <v>1164</v>
      </c>
      <c r="C567" s="1">
        <v>41456</v>
      </c>
      <c r="D567" s="1">
        <v>41820</v>
      </c>
      <c r="E567" t="s">
        <v>142</v>
      </c>
      <c r="G567" t="s">
        <v>143</v>
      </c>
      <c r="H567" t="s">
        <v>47</v>
      </c>
      <c r="I567" t="str">
        <f>"48275"</f>
        <v>48275</v>
      </c>
      <c r="J567" t="s">
        <v>22</v>
      </c>
      <c r="K567" t="s">
        <v>23</v>
      </c>
      <c r="L567" s="2">
        <v>12062514</v>
      </c>
      <c r="M567" s="2">
        <v>7584875</v>
      </c>
      <c r="N567" s="2">
        <v>0</v>
      </c>
      <c r="O567" s="2">
        <v>756901</v>
      </c>
      <c r="P567" t="s">
        <v>24</v>
      </c>
      <c r="Q567" t="s">
        <v>24</v>
      </c>
    </row>
    <row r="568" spans="1:17" x14ac:dyDescent="0.25">
      <c r="A568" t="s">
        <v>2884</v>
      </c>
      <c r="B568" t="s">
        <v>2885</v>
      </c>
      <c r="C568" s="1">
        <v>40909</v>
      </c>
      <c r="D568" s="1">
        <v>41274</v>
      </c>
      <c r="E568" t="s">
        <v>2886</v>
      </c>
      <c r="G568" t="s">
        <v>28</v>
      </c>
      <c r="H568" t="s">
        <v>29</v>
      </c>
      <c r="I568" t="str">
        <f>"60606"</f>
        <v>60606</v>
      </c>
      <c r="J568" t="s">
        <v>22</v>
      </c>
      <c r="K568" t="s">
        <v>23</v>
      </c>
      <c r="L568" s="2">
        <v>12030311</v>
      </c>
      <c r="M568" s="2">
        <v>7369883</v>
      </c>
      <c r="N568" s="2">
        <v>0</v>
      </c>
      <c r="O568" s="2">
        <v>698830</v>
      </c>
      <c r="P568" t="s">
        <v>24</v>
      </c>
      <c r="Q568" t="s">
        <v>24</v>
      </c>
    </row>
    <row r="569" spans="1:17" x14ac:dyDescent="0.25">
      <c r="A569" t="s">
        <v>308</v>
      </c>
      <c r="B569" t="s">
        <v>309</v>
      </c>
      <c r="C569" s="1">
        <v>41275</v>
      </c>
      <c r="D569" s="1">
        <v>41639</v>
      </c>
      <c r="E569" t="s">
        <v>310</v>
      </c>
      <c r="G569" t="s">
        <v>311</v>
      </c>
      <c r="H569" t="s">
        <v>21</v>
      </c>
      <c r="I569" t="str">
        <f>"46544"</f>
        <v>46544</v>
      </c>
      <c r="J569" t="s">
        <v>22</v>
      </c>
      <c r="K569" t="s">
        <v>30</v>
      </c>
      <c r="L569" s="2">
        <v>12029650</v>
      </c>
      <c r="M569" s="2">
        <v>3690248</v>
      </c>
      <c r="N569" s="2">
        <v>0</v>
      </c>
      <c r="O569" s="2">
        <v>287010</v>
      </c>
      <c r="P569" t="s">
        <v>24</v>
      </c>
      <c r="Q569" t="s">
        <v>24</v>
      </c>
    </row>
    <row r="570" spans="1:17" x14ac:dyDescent="0.25">
      <c r="A570" t="s">
        <v>368</v>
      </c>
      <c r="B570" t="s">
        <v>369</v>
      </c>
      <c r="C570" s="1">
        <v>41275</v>
      </c>
      <c r="D570" s="1">
        <v>41639</v>
      </c>
      <c r="E570" t="s">
        <v>370</v>
      </c>
      <c r="G570" t="s">
        <v>371</v>
      </c>
      <c r="H570" t="s">
        <v>29</v>
      </c>
      <c r="I570" t="str">
        <f>"60062"</f>
        <v>60062</v>
      </c>
      <c r="J570" t="s">
        <v>22</v>
      </c>
      <c r="K570" t="s">
        <v>23</v>
      </c>
      <c r="L570" s="2">
        <v>11991867</v>
      </c>
      <c r="M570" s="2">
        <v>720399</v>
      </c>
      <c r="N570" s="2">
        <v>0</v>
      </c>
      <c r="O570" s="2">
        <v>718477</v>
      </c>
      <c r="P570" t="s">
        <v>24</v>
      </c>
      <c r="Q570" t="s">
        <v>24</v>
      </c>
    </row>
    <row r="571" spans="1:17" x14ac:dyDescent="0.25">
      <c r="A571" t="s">
        <v>2388</v>
      </c>
      <c r="B571" t="s">
        <v>2389</v>
      </c>
      <c r="C571" s="1">
        <v>41275</v>
      </c>
      <c r="D571" s="1">
        <v>41639</v>
      </c>
      <c r="E571" t="s">
        <v>2390</v>
      </c>
      <c r="G571" t="s">
        <v>2391</v>
      </c>
      <c r="H571" t="s">
        <v>62</v>
      </c>
      <c r="I571" t="str">
        <f>"45822"</f>
        <v>45822</v>
      </c>
      <c r="J571" t="s">
        <v>63</v>
      </c>
      <c r="K571" t="s">
        <v>64</v>
      </c>
      <c r="L571" s="2">
        <v>11981881</v>
      </c>
      <c r="M571" s="2">
        <v>2182917</v>
      </c>
      <c r="N571" s="2">
        <v>0</v>
      </c>
      <c r="O571" s="2">
        <v>697494</v>
      </c>
      <c r="P571" s="2">
        <v>99894</v>
      </c>
      <c r="Q571" s="2">
        <v>2836</v>
      </c>
    </row>
    <row r="572" spans="1:17" x14ac:dyDescent="0.25">
      <c r="A572" t="s">
        <v>5360</v>
      </c>
      <c r="B572" t="s">
        <v>5361</v>
      </c>
      <c r="C572" s="1">
        <v>41275</v>
      </c>
      <c r="D572" s="1">
        <v>41639</v>
      </c>
      <c r="E572" t="s">
        <v>5362</v>
      </c>
      <c r="G572" t="s">
        <v>2208</v>
      </c>
      <c r="H572" t="s">
        <v>21</v>
      </c>
      <c r="I572" t="str">
        <f>"46173"</f>
        <v>46173</v>
      </c>
      <c r="J572" t="s">
        <v>63</v>
      </c>
      <c r="K572" t="s">
        <v>64</v>
      </c>
      <c r="L572" s="2">
        <v>11952389</v>
      </c>
      <c r="M572" s="2">
        <v>368817</v>
      </c>
      <c r="N572" s="2">
        <v>1021307</v>
      </c>
      <c r="O572" s="2">
        <v>457881</v>
      </c>
      <c r="P572" s="2">
        <v>150841</v>
      </c>
      <c r="Q572" s="2">
        <v>16845</v>
      </c>
    </row>
    <row r="573" spans="1:17" x14ac:dyDescent="0.25">
      <c r="A573" t="s">
        <v>3077</v>
      </c>
      <c r="B573" t="s">
        <v>3078</v>
      </c>
      <c r="C573" s="1">
        <v>41275</v>
      </c>
      <c r="D573" s="1">
        <v>41639</v>
      </c>
      <c r="E573" t="s">
        <v>3079</v>
      </c>
      <c r="G573" t="s">
        <v>3080</v>
      </c>
      <c r="H573" t="s">
        <v>62</v>
      </c>
      <c r="I573" t="str">
        <f>"44122"</f>
        <v>44122</v>
      </c>
      <c r="J573" t="s">
        <v>22</v>
      </c>
      <c r="K573" t="s">
        <v>23</v>
      </c>
      <c r="L573" s="2">
        <v>11934797</v>
      </c>
      <c r="M573" s="2">
        <v>251414</v>
      </c>
      <c r="N573" s="2">
        <v>172200</v>
      </c>
      <c r="O573" s="2">
        <v>743320</v>
      </c>
      <c r="P573" t="s">
        <v>24</v>
      </c>
      <c r="Q573" t="s">
        <v>24</v>
      </c>
    </row>
    <row r="574" spans="1:17" x14ac:dyDescent="0.25">
      <c r="A574" t="s">
        <v>4189</v>
      </c>
      <c r="B574" t="s">
        <v>4190</v>
      </c>
      <c r="C574" s="1">
        <v>41275</v>
      </c>
      <c r="D574" s="1">
        <v>41639</v>
      </c>
      <c r="E574" t="s">
        <v>4191</v>
      </c>
      <c r="G574" t="s">
        <v>139</v>
      </c>
      <c r="H574" t="s">
        <v>47</v>
      </c>
      <c r="I574" t="str">
        <f>"49503"</f>
        <v>49503</v>
      </c>
      <c r="J574" t="s">
        <v>22</v>
      </c>
      <c r="K574" t="s">
        <v>91</v>
      </c>
      <c r="L574" s="2">
        <v>11929932</v>
      </c>
      <c r="M574" s="2">
        <v>8419661</v>
      </c>
      <c r="N574" s="2">
        <v>0</v>
      </c>
      <c r="O574" s="2">
        <v>4496321</v>
      </c>
      <c r="P574" t="s">
        <v>24</v>
      </c>
      <c r="Q574" t="s">
        <v>24</v>
      </c>
    </row>
    <row r="575" spans="1:17" x14ac:dyDescent="0.25">
      <c r="A575" t="s">
        <v>6318</v>
      </c>
      <c r="B575" t="s">
        <v>6319</v>
      </c>
      <c r="C575" s="1">
        <v>41365</v>
      </c>
      <c r="D575" s="1">
        <v>41729</v>
      </c>
      <c r="E575" t="s">
        <v>50</v>
      </c>
      <c r="G575" t="s">
        <v>28</v>
      </c>
      <c r="H575" t="s">
        <v>29</v>
      </c>
      <c r="I575" t="str">
        <f>"60603"</f>
        <v>60603</v>
      </c>
      <c r="J575" t="s">
        <v>22</v>
      </c>
      <c r="K575" t="s">
        <v>23</v>
      </c>
      <c r="L575" s="2">
        <v>11876802</v>
      </c>
      <c r="M575" s="2">
        <v>4806823</v>
      </c>
      <c r="N575" s="2">
        <v>0</v>
      </c>
      <c r="O575" s="2">
        <v>621766</v>
      </c>
      <c r="P575" t="s">
        <v>24</v>
      </c>
      <c r="Q575" t="s">
        <v>24</v>
      </c>
    </row>
    <row r="576" spans="1:17" x14ac:dyDescent="0.25">
      <c r="A576" t="s">
        <v>1135</v>
      </c>
      <c r="B576" t="s">
        <v>1136</v>
      </c>
      <c r="C576" s="1">
        <v>41275</v>
      </c>
      <c r="D576" s="1">
        <v>41639</v>
      </c>
      <c r="E576" t="s">
        <v>1137</v>
      </c>
      <c r="G576" t="s">
        <v>1138</v>
      </c>
      <c r="H576" t="s">
        <v>62</v>
      </c>
      <c r="I576" t="str">
        <f>"44681"</f>
        <v>44681</v>
      </c>
      <c r="J576" t="s">
        <v>752</v>
      </c>
      <c r="K576" t="s">
        <v>753</v>
      </c>
      <c r="L576" s="2">
        <v>11860710</v>
      </c>
      <c r="M576" s="2">
        <v>2362310</v>
      </c>
      <c r="N576" s="2">
        <v>0</v>
      </c>
      <c r="O576" s="2">
        <v>101679</v>
      </c>
      <c r="P576" t="s">
        <v>24</v>
      </c>
      <c r="Q576" t="s">
        <v>24</v>
      </c>
    </row>
    <row r="577" spans="1:17" x14ac:dyDescent="0.25">
      <c r="A577" t="s">
        <v>624</v>
      </c>
      <c r="B577" t="s">
        <v>625</v>
      </c>
      <c r="C577" s="1">
        <v>41275</v>
      </c>
      <c r="D577" s="1">
        <v>41639</v>
      </c>
      <c r="E577" t="s">
        <v>626</v>
      </c>
      <c r="G577" t="s">
        <v>627</v>
      </c>
      <c r="H577" t="s">
        <v>29</v>
      </c>
      <c r="I577" t="str">
        <f>"60201"</f>
        <v>60201</v>
      </c>
      <c r="J577" t="s">
        <v>22</v>
      </c>
      <c r="K577" t="s">
        <v>91</v>
      </c>
      <c r="L577" s="2">
        <v>11860280</v>
      </c>
      <c r="M577" s="2">
        <v>2578636</v>
      </c>
      <c r="N577" s="2">
        <v>0</v>
      </c>
      <c r="O577" s="2">
        <v>841448</v>
      </c>
      <c r="P577" t="s">
        <v>24</v>
      </c>
      <c r="Q577" t="s">
        <v>24</v>
      </c>
    </row>
    <row r="578" spans="1:17" x14ac:dyDescent="0.25">
      <c r="A578" t="s">
        <v>1255</v>
      </c>
      <c r="B578" t="s">
        <v>1256</v>
      </c>
      <c r="C578" s="1">
        <v>40909</v>
      </c>
      <c r="D578" s="1">
        <v>41274</v>
      </c>
      <c r="E578" t="s">
        <v>1257</v>
      </c>
      <c r="G578" t="s">
        <v>612</v>
      </c>
      <c r="H578" t="s">
        <v>42</v>
      </c>
      <c r="I578" t="str">
        <f>"53092"</f>
        <v>53092</v>
      </c>
      <c r="J578" t="s">
        <v>22</v>
      </c>
      <c r="K578" t="s">
        <v>30</v>
      </c>
      <c r="L578" s="2">
        <v>11843899</v>
      </c>
      <c r="M578" s="2">
        <v>12075395</v>
      </c>
      <c r="N578" s="2">
        <v>0</v>
      </c>
      <c r="O578" s="2">
        <v>284606</v>
      </c>
      <c r="P578" t="s">
        <v>24</v>
      </c>
      <c r="Q578" t="s">
        <v>24</v>
      </c>
    </row>
    <row r="579" spans="1:17" x14ac:dyDescent="0.25">
      <c r="A579" t="s">
        <v>2500</v>
      </c>
      <c r="B579" t="s">
        <v>2501</v>
      </c>
      <c r="C579" s="1">
        <v>41275</v>
      </c>
      <c r="D579" s="1">
        <v>41639</v>
      </c>
      <c r="E579" t="s">
        <v>104</v>
      </c>
      <c r="G579" t="s">
        <v>28</v>
      </c>
      <c r="H579" t="s">
        <v>29</v>
      </c>
      <c r="I579" t="str">
        <f>"60680"</f>
        <v>60680</v>
      </c>
      <c r="J579" t="s">
        <v>22</v>
      </c>
      <c r="K579" t="s">
        <v>23</v>
      </c>
      <c r="L579" s="2">
        <v>11835405</v>
      </c>
      <c r="M579" s="2">
        <v>3010725</v>
      </c>
      <c r="N579" s="2">
        <v>0</v>
      </c>
      <c r="O579" s="2">
        <v>587467</v>
      </c>
      <c r="P579" t="s">
        <v>24</v>
      </c>
      <c r="Q579" t="s">
        <v>24</v>
      </c>
    </row>
    <row r="580" spans="1:17" x14ac:dyDescent="0.25">
      <c r="A580" t="s">
        <v>6502</v>
      </c>
      <c r="B580" t="s">
        <v>6503</v>
      </c>
      <c r="C580" s="1">
        <v>41275</v>
      </c>
      <c r="D580" s="1">
        <v>41639</v>
      </c>
      <c r="E580" t="s">
        <v>6504</v>
      </c>
      <c r="G580" t="s">
        <v>86</v>
      </c>
      <c r="H580" t="s">
        <v>42</v>
      </c>
      <c r="I580" t="str">
        <f>"53703"</f>
        <v>53703</v>
      </c>
      <c r="J580" t="s">
        <v>22</v>
      </c>
      <c r="K580" t="s">
        <v>23</v>
      </c>
      <c r="L580" s="2">
        <v>11825516</v>
      </c>
      <c r="M580" s="2">
        <v>7376969</v>
      </c>
      <c r="N580" s="2">
        <v>6000</v>
      </c>
      <c r="O580" s="2">
        <v>1095319</v>
      </c>
      <c r="P580" t="s">
        <v>24</v>
      </c>
      <c r="Q580" t="s">
        <v>24</v>
      </c>
    </row>
    <row r="581" spans="1:17" x14ac:dyDescent="0.25">
      <c r="A581" t="s">
        <v>3094</v>
      </c>
      <c r="B581" t="s">
        <v>3095</v>
      </c>
      <c r="C581" s="1">
        <v>41091</v>
      </c>
      <c r="D581" s="1">
        <v>41455</v>
      </c>
      <c r="E581" t="s">
        <v>3096</v>
      </c>
      <c r="G581" t="s">
        <v>3097</v>
      </c>
      <c r="H581" t="s">
        <v>29</v>
      </c>
      <c r="I581" t="str">
        <f>"60477"</f>
        <v>60477</v>
      </c>
      <c r="J581" t="s">
        <v>63</v>
      </c>
      <c r="K581" t="s">
        <v>64</v>
      </c>
      <c r="L581" s="2">
        <v>11754513</v>
      </c>
      <c r="M581" s="2">
        <v>1194994</v>
      </c>
      <c r="N581" s="2">
        <v>130695</v>
      </c>
      <c r="O581" s="2">
        <v>1167309</v>
      </c>
      <c r="P581" s="2">
        <v>539119</v>
      </c>
      <c r="Q581" s="2">
        <v>0</v>
      </c>
    </row>
    <row r="582" spans="1:17" x14ac:dyDescent="0.25">
      <c r="A582" t="s">
        <v>4016</v>
      </c>
      <c r="B582" t="s">
        <v>4017</v>
      </c>
      <c r="C582" s="1">
        <v>41275</v>
      </c>
      <c r="D582" s="1">
        <v>41639</v>
      </c>
      <c r="E582" t="s">
        <v>4018</v>
      </c>
      <c r="G582" t="s">
        <v>4019</v>
      </c>
      <c r="H582" t="s">
        <v>21</v>
      </c>
      <c r="I582" t="str">
        <f>"47043"</f>
        <v>47043</v>
      </c>
      <c r="J582" t="s">
        <v>63</v>
      </c>
      <c r="K582" t="s">
        <v>64</v>
      </c>
      <c r="L582" s="2">
        <v>11749682</v>
      </c>
      <c r="M582" s="2">
        <v>951245</v>
      </c>
      <c r="N582" s="2">
        <v>360814</v>
      </c>
      <c r="O582" s="2">
        <v>672955</v>
      </c>
      <c r="P582" s="2">
        <v>66673</v>
      </c>
      <c r="Q582" s="2">
        <v>14304</v>
      </c>
    </row>
    <row r="583" spans="1:17" x14ac:dyDescent="0.25">
      <c r="A583" t="s">
        <v>5447</v>
      </c>
      <c r="B583" t="s">
        <v>5448</v>
      </c>
      <c r="C583" s="1">
        <v>41275</v>
      </c>
      <c r="D583" s="1">
        <v>41639</v>
      </c>
      <c r="E583" t="s">
        <v>5449</v>
      </c>
      <c r="G583" t="s">
        <v>684</v>
      </c>
      <c r="H583" t="s">
        <v>21</v>
      </c>
      <c r="I583" t="str">
        <f>"47905"</f>
        <v>47905</v>
      </c>
      <c r="J583" t="s">
        <v>22</v>
      </c>
      <c r="K583" t="s">
        <v>30</v>
      </c>
      <c r="L583" s="2">
        <v>11747727</v>
      </c>
      <c r="M583" s="2">
        <v>10741673</v>
      </c>
      <c r="N583" s="2">
        <v>0</v>
      </c>
      <c r="O583" s="2">
        <v>625299</v>
      </c>
      <c r="P583" t="s">
        <v>24</v>
      </c>
      <c r="Q583" t="s">
        <v>24</v>
      </c>
    </row>
    <row r="584" spans="1:17" x14ac:dyDescent="0.25">
      <c r="A584" t="s">
        <v>3120</v>
      </c>
      <c r="B584" t="s">
        <v>3121</v>
      </c>
      <c r="C584" s="1">
        <v>41275</v>
      </c>
      <c r="D584" s="1">
        <v>41639</v>
      </c>
      <c r="E584" t="s">
        <v>3122</v>
      </c>
      <c r="G584" t="s">
        <v>2549</v>
      </c>
      <c r="H584" t="s">
        <v>42</v>
      </c>
      <c r="I584" t="str">
        <f>"54402"</f>
        <v>54402</v>
      </c>
      <c r="J584" t="s">
        <v>22</v>
      </c>
      <c r="K584" t="s">
        <v>30</v>
      </c>
      <c r="L584" s="2">
        <v>11736942</v>
      </c>
      <c r="M584" s="2">
        <v>4530520</v>
      </c>
      <c r="N584" s="2">
        <v>0</v>
      </c>
      <c r="O584" s="2">
        <v>367230</v>
      </c>
      <c r="P584" t="s">
        <v>24</v>
      </c>
      <c r="Q584" t="s">
        <v>24</v>
      </c>
    </row>
    <row r="585" spans="1:17" x14ac:dyDescent="0.25">
      <c r="A585" t="s">
        <v>1464</v>
      </c>
      <c r="B585" t="s">
        <v>1465</v>
      </c>
      <c r="E585" t="s">
        <v>1466</v>
      </c>
      <c r="G585" t="s">
        <v>77</v>
      </c>
      <c r="H585" t="s">
        <v>78</v>
      </c>
      <c r="I585" t="str">
        <f>"40202"</f>
        <v>40202</v>
      </c>
      <c r="J585" t="s">
        <v>22</v>
      </c>
      <c r="K585" t="s">
        <v>30</v>
      </c>
      <c r="L585" s="2">
        <v>11723119</v>
      </c>
      <c r="M585" s="2">
        <v>397607</v>
      </c>
      <c r="N585" s="2">
        <v>0</v>
      </c>
      <c r="O585" t="s">
        <v>24</v>
      </c>
      <c r="P585" t="s">
        <v>24</v>
      </c>
      <c r="Q585" t="s">
        <v>24</v>
      </c>
    </row>
    <row r="586" spans="1:17" x14ac:dyDescent="0.25">
      <c r="A586" t="s">
        <v>1681</v>
      </c>
      <c r="B586" t="s">
        <v>1682</v>
      </c>
      <c r="C586" s="1">
        <v>41456</v>
      </c>
      <c r="D586" s="1">
        <v>41820</v>
      </c>
      <c r="E586" t="s">
        <v>1683</v>
      </c>
      <c r="G586" t="s">
        <v>1684</v>
      </c>
      <c r="H586" t="s">
        <v>42</v>
      </c>
      <c r="I586" t="str">
        <f>"54850"</f>
        <v>54850</v>
      </c>
      <c r="J586" t="s">
        <v>22</v>
      </c>
      <c r="K586" t="s">
        <v>30</v>
      </c>
      <c r="L586" s="2">
        <v>11692816</v>
      </c>
      <c r="M586" s="2">
        <v>2479742</v>
      </c>
      <c r="N586" s="2">
        <v>0</v>
      </c>
      <c r="O586" s="2">
        <v>618025</v>
      </c>
      <c r="P586" t="s">
        <v>24</v>
      </c>
      <c r="Q586" t="s">
        <v>24</v>
      </c>
    </row>
    <row r="587" spans="1:17" x14ac:dyDescent="0.25">
      <c r="A587" t="s">
        <v>3156</v>
      </c>
      <c r="B587" t="s">
        <v>3157</v>
      </c>
      <c r="C587" s="1">
        <v>41275</v>
      </c>
      <c r="D587" s="1">
        <v>41639</v>
      </c>
      <c r="E587" t="s">
        <v>163</v>
      </c>
      <c r="G587" t="s">
        <v>28</v>
      </c>
      <c r="H587" t="s">
        <v>29</v>
      </c>
      <c r="I587" t="str">
        <f>"60603"</f>
        <v>60603</v>
      </c>
      <c r="J587" t="s">
        <v>22</v>
      </c>
      <c r="K587" t="s">
        <v>23</v>
      </c>
      <c r="L587" s="2">
        <v>11646333</v>
      </c>
      <c r="M587" s="2">
        <v>3291324</v>
      </c>
      <c r="N587" s="2">
        <v>0</v>
      </c>
      <c r="O587" s="2">
        <v>640529</v>
      </c>
      <c r="P587" t="s">
        <v>24</v>
      </c>
      <c r="Q587" t="s">
        <v>24</v>
      </c>
    </row>
    <row r="588" spans="1:17" x14ac:dyDescent="0.25">
      <c r="A588" t="s">
        <v>1173</v>
      </c>
      <c r="B588" t="s">
        <v>1174</v>
      </c>
      <c r="C588" s="1">
        <v>41275</v>
      </c>
      <c r="D588" s="1">
        <v>41639</v>
      </c>
      <c r="E588" t="s">
        <v>1175</v>
      </c>
      <c r="G588" t="s">
        <v>41</v>
      </c>
      <c r="H588" t="s">
        <v>42</v>
      </c>
      <c r="I588" t="str">
        <f>"53202"</f>
        <v>53202</v>
      </c>
      <c r="J588" t="s">
        <v>22</v>
      </c>
      <c r="K588" t="s">
        <v>23</v>
      </c>
      <c r="L588" s="2">
        <v>11579625</v>
      </c>
      <c r="M588" s="2">
        <v>6725025</v>
      </c>
      <c r="N588" s="2">
        <v>0</v>
      </c>
      <c r="O588" s="2">
        <v>3667412</v>
      </c>
      <c r="P588" t="s">
        <v>24</v>
      </c>
      <c r="Q588" t="s">
        <v>24</v>
      </c>
    </row>
    <row r="589" spans="1:17" x14ac:dyDescent="0.25">
      <c r="A589" t="s">
        <v>243</v>
      </c>
      <c r="B589" t="s">
        <v>244</v>
      </c>
      <c r="C589" s="1">
        <v>41275</v>
      </c>
      <c r="D589" s="1">
        <v>41639</v>
      </c>
      <c r="E589" t="s">
        <v>245</v>
      </c>
      <c r="G589" t="s">
        <v>246</v>
      </c>
      <c r="H589" t="s">
        <v>29</v>
      </c>
      <c r="I589" t="str">
        <f>"60563"</f>
        <v>60563</v>
      </c>
      <c r="J589" t="s">
        <v>22</v>
      </c>
      <c r="K589" t="s">
        <v>30</v>
      </c>
      <c r="L589" s="2">
        <v>11555986</v>
      </c>
      <c r="M589" s="2">
        <v>4805654</v>
      </c>
      <c r="N589" s="2">
        <v>1218180</v>
      </c>
      <c r="O589" s="2">
        <v>1116809</v>
      </c>
      <c r="P589" t="s">
        <v>24</v>
      </c>
      <c r="Q589" t="s">
        <v>24</v>
      </c>
    </row>
    <row r="590" spans="1:17" x14ac:dyDescent="0.25">
      <c r="A590" t="s">
        <v>6230</v>
      </c>
      <c r="B590" t="s">
        <v>6231</v>
      </c>
      <c r="C590" s="1">
        <v>41244</v>
      </c>
      <c r="D590" s="1">
        <v>41608</v>
      </c>
      <c r="E590" t="s">
        <v>1466</v>
      </c>
      <c r="G590" t="s">
        <v>77</v>
      </c>
      <c r="H590" t="s">
        <v>78</v>
      </c>
      <c r="I590" t="str">
        <f>"40202"</f>
        <v>40202</v>
      </c>
      <c r="J590" t="s">
        <v>22</v>
      </c>
      <c r="K590" t="s">
        <v>23</v>
      </c>
      <c r="L590" s="2">
        <v>11546314</v>
      </c>
      <c r="M590" s="2">
        <v>7447065</v>
      </c>
      <c r="N590" s="2">
        <v>0</v>
      </c>
      <c r="O590" s="2">
        <v>763128</v>
      </c>
      <c r="P590" t="s">
        <v>24</v>
      </c>
      <c r="Q590" t="s">
        <v>24</v>
      </c>
    </row>
    <row r="591" spans="1:17" x14ac:dyDescent="0.25">
      <c r="A591" t="s">
        <v>6707</v>
      </c>
      <c r="B591" t="s">
        <v>6708</v>
      </c>
      <c r="C591" s="1">
        <v>41275</v>
      </c>
      <c r="D591" s="1">
        <v>41639</v>
      </c>
      <c r="E591" t="s">
        <v>6709</v>
      </c>
      <c r="G591" t="s">
        <v>139</v>
      </c>
      <c r="H591" t="s">
        <v>47</v>
      </c>
      <c r="I591" t="str">
        <f>"49504"</f>
        <v>49504</v>
      </c>
      <c r="J591" t="s">
        <v>22</v>
      </c>
      <c r="K591" t="s">
        <v>23</v>
      </c>
      <c r="L591" s="2">
        <v>11472914</v>
      </c>
      <c r="M591" s="2">
        <v>5308961</v>
      </c>
      <c r="N591" s="2">
        <v>0</v>
      </c>
      <c r="O591" s="2">
        <v>682560</v>
      </c>
      <c r="P591" t="s">
        <v>24</v>
      </c>
      <c r="Q591" t="s">
        <v>24</v>
      </c>
    </row>
    <row r="592" spans="1:17" x14ac:dyDescent="0.25">
      <c r="A592" t="s">
        <v>7307</v>
      </c>
      <c r="B592" t="s">
        <v>7308</v>
      </c>
      <c r="C592" s="1">
        <v>41275</v>
      </c>
      <c r="D592" s="1">
        <v>41639</v>
      </c>
      <c r="E592" t="s">
        <v>6255</v>
      </c>
      <c r="G592" t="s">
        <v>6256</v>
      </c>
      <c r="H592" t="s">
        <v>29</v>
      </c>
      <c r="I592" t="str">
        <f>"60118"</f>
        <v>60118</v>
      </c>
      <c r="J592" t="s">
        <v>22</v>
      </c>
      <c r="K592" t="s">
        <v>23</v>
      </c>
      <c r="L592" s="2">
        <v>11466083</v>
      </c>
      <c r="M592" s="2">
        <v>7506911</v>
      </c>
      <c r="N592" s="2">
        <v>0</v>
      </c>
      <c r="O592" s="2">
        <v>492152</v>
      </c>
      <c r="P592" t="s">
        <v>24</v>
      </c>
      <c r="Q592" t="s">
        <v>24</v>
      </c>
    </row>
    <row r="593" spans="1:17" x14ac:dyDescent="0.25">
      <c r="A593" t="s">
        <v>1602</v>
      </c>
      <c r="B593" t="s">
        <v>1603</v>
      </c>
      <c r="C593" s="1">
        <v>40909</v>
      </c>
      <c r="D593" s="1">
        <v>41274</v>
      </c>
      <c r="E593" t="s">
        <v>1604</v>
      </c>
      <c r="G593" t="s">
        <v>1605</v>
      </c>
      <c r="H593" t="s">
        <v>29</v>
      </c>
      <c r="I593" t="str">
        <f>"60123"</f>
        <v>60123</v>
      </c>
      <c r="J593" t="s">
        <v>22</v>
      </c>
      <c r="K593" t="s">
        <v>23</v>
      </c>
      <c r="L593" s="2">
        <v>11453100</v>
      </c>
      <c r="M593" s="2">
        <v>3554829</v>
      </c>
      <c r="N593" s="2">
        <v>2789</v>
      </c>
      <c r="O593" s="2">
        <v>676514</v>
      </c>
      <c r="P593" t="s">
        <v>24</v>
      </c>
      <c r="Q593" t="s">
        <v>24</v>
      </c>
    </row>
    <row r="594" spans="1:17" x14ac:dyDescent="0.25">
      <c r="A594" t="s">
        <v>5670</v>
      </c>
      <c r="B594" t="s">
        <v>5671</v>
      </c>
      <c r="C594" s="1">
        <v>41306</v>
      </c>
      <c r="D594" s="1">
        <v>41670</v>
      </c>
      <c r="E594" t="s">
        <v>104</v>
      </c>
      <c r="G594" t="s">
        <v>28</v>
      </c>
      <c r="H594" t="s">
        <v>29</v>
      </c>
      <c r="I594" t="str">
        <f>"60680"</f>
        <v>60680</v>
      </c>
      <c r="J594" t="s">
        <v>22</v>
      </c>
      <c r="K594" t="s">
        <v>30</v>
      </c>
      <c r="L594" s="2">
        <v>11430891</v>
      </c>
      <c r="M594" s="2">
        <v>1605621</v>
      </c>
      <c r="N594" s="2">
        <v>0</v>
      </c>
      <c r="O594" s="2">
        <v>689209</v>
      </c>
      <c r="P594" t="s">
        <v>24</v>
      </c>
      <c r="Q594" t="s">
        <v>24</v>
      </c>
    </row>
    <row r="595" spans="1:17" x14ac:dyDescent="0.25">
      <c r="A595" t="s">
        <v>6603</v>
      </c>
      <c r="B595" t="s">
        <v>6604</v>
      </c>
      <c r="C595" s="1">
        <v>41275</v>
      </c>
      <c r="D595" s="1">
        <v>41639</v>
      </c>
      <c r="E595" t="s">
        <v>4138</v>
      </c>
      <c r="G595" t="s">
        <v>4139</v>
      </c>
      <c r="H595" t="s">
        <v>47</v>
      </c>
      <c r="I595" t="str">
        <f>"49660"</f>
        <v>49660</v>
      </c>
      <c r="J595" t="s">
        <v>22</v>
      </c>
      <c r="K595" t="s">
        <v>23</v>
      </c>
      <c r="L595" s="2">
        <v>11427678</v>
      </c>
      <c r="M595" s="2">
        <v>641792</v>
      </c>
      <c r="N595" s="2">
        <v>0</v>
      </c>
      <c r="O595" s="2">
        <v>322006</v>
      </c>
      <c r="P595" t="s">
        <v>24</v>
      </c>
      <c r="Q595" t="s">
        <v>24</v>
      </c>
    </row>
    <row r="596" spans="1:17" x14ac:dyDescent="0.25">
      <c r="A596" t="s">
        <v>837</v>
      </c>
      <c r="B596" t="s">
        <v>838</v>
      </c>
      <c r="C596" s="1">
        <v>41275</v>
      </c>
      <c r="D596" s="1">
        <v>41639</v>
      </c>
      <c r="E596" t="s">
        <v>839</v>
      </c>
      <c r="G596" t="s">
        <v>20</v>
      </c>
      <c r="H596" t="s">
        <v>21</v>
      </c>
      <c r="I596" t="str">
        <f>"46204"</f>
        <v>46204</v>
      </c>
      <c r="J596" t="s">
        <v>22</v>
      </c>
      <c r="K596" t="s">
        <v>23</v>
      </c>
      <c r="L596" s="2">
        <v>11389074</v>
      </c>
      <c r="M596" s="2">
        <v>2948769</v>
      </c>
      <c r="N596" s="2">
        <v>0</v>
      </c>
      <c r="O596" s="2">
        <v>633099</v>
      </c>
      <c r="P596" t="s">
        <v>24</v>
      </c>
      <c r="Q596" t="s">
        <v>24</v>
      </c>
    </row>
    <row r="597" spans="1:17" x14ac:dyDescent="0.25">
      <c r="A597" t="s">
        <v>7419</v>
      </c>
      <c r="B597" t="s">
        <v>7420</v>
      </c>
      <c r="C597" s="1">
        <v>41275</v>
      </c>
      <c r="D597" s="1">
        <v>41639</v>
      </c>
      <c r="E597" t="s">
        <v>7421</v>
      </c>
      <c r="G597" t="s">
        <v>68</v>
      </c>
      <c r="H597" t="s">
        <v>29</v>
      </c>
      <c r="I597" t="str">
        <f>"60068"</f>
        <v>60068</v>
      </c>
      <c r="J597" t="s">
        <v>22</v>
      </c>
      <c r="K597" t="s">
        <v>30</v>
      </c>
      <c r="L597" s="2">
        <v>11384016</v>
      </c>
      <c r="M597" s="2">
        <v>6943472</v>
      </c>
      <c r="N597" s="2">
        <v>0</v>
      </c>
      <c r="O597" s="2">
        <v>354241</v>
      </c>
      <c r="P597" t="s">
        <v>24</v>
      </c>
      <c r="Q597" t="s">
        <v>24</v>
      </c>
    </row>
    <row r="598" spans="1:17" x14ac:dyDescent="0.25">
      <c r="A598" t="s">
        <v>3242</v>
      </c>
      <c r="B598" t="s">
        <v>3243</v>
      </c>
      <c r="C598" s="1">
        <v>41275</v>
      </c>
      <c r="D598" s="1">
        <v>41639</v>
      </c>
      <c r="E598" t="s">
        <v>3244</v>
      </c>
      <c r="G598" t="s">
        <v>1809</v>
      </c>
      <c r="H598" t="s">
        <v>29</v>
      </c>
      <c r="I598" t="str">
        <f>"60045"</f>
        <v>60045</v>
      </c>
      <c r="J598" t="s">
        <v>22</v>
      </c>
      <c r="K598" t="s">
        <v>23</v>
      </c>
      <c r="L598" s="2">
        <v>11313453</v>
      </c>
      <c r="M598" s="2">
        <v>10086643</v>
      </c>
      <c r="N598" s="2">
        <v>0</v>
      </c>
      <c r="O598" s="2">
        <v>8443386</v>
      </c>
      <c r="P598" t="s">
        <v>24</v>
      </c>
      <c r="Q598" t="s">
        <v>24</v>
      </c>
    </row>
    <row r="599" spans="1:17" x14ac:dyDescent="0.25">
      <c r="A599" t="s">
        <v>5250</v>
      </c>
      <c r="B599" t="s">
        <v>5251</v>
      </c>
      <c r="C599" s="1">
        <v>41275</v>
      </c>
      <c r="D599" s="1">
        <v>41639</v>
      </c>
      <c r="E599" t="s">
        <v>5252</v>
      </c>
      <c r="G599" t="s">
        <v>965</v>
      </c>
      <c r="H599" t="s">
        <v>21</v>
      </c>
      <c r="I599" t="str">
        <f>"46733"</f>
        <v>46733</v>
      </c>
      <c r="J599" t="s">
        <v>63</v>
      </c>
      <c r="K599" t="s">
        <v>64</v>
      </c>
      <c r="L599" s="2">
        <v>11307074</v>
      </c>
      <c r="M599" s="2">
        <v>2122264</v>
      </c>
      <c r="N599" s="2">
        <v>336648</v>
      </c>
      <c r="O599" s="2">
        <v>658539</v>
      </c>
      <c r="P599" s="2">
        <v>166197</v>
      </c>
      <c r="Q599" s="2">
        <v>30891</v>
      </c>
    </row>
    <row r="600" spans="1:17" x14ac:dyDescent="0.25">
      <c r="A600" t="s">
        <v>2332</v>
      </c>
      <c r="B600" t="s">
        <v>2333</v>
      </c>
      <c r="C600" s="1">
        <v>41275</v>
      </c>
      <c r="D600" s="1">
        <v>41639</v>
      </c>
      <c r="E600" t="s">
        <v>2334</v>
      </c>
      <c r="G600" t="s">
        <v>2335</v>
      </c>
      <c r="H600" t="s">
        <v>29</v>
      </c>
      <c r="I600" t="str">
        <f>"60544"</f>
        <v>60544</v>
      </c>
      <c r="J600" t="s">
        <v>22</v>
      </c>
      <c r="K600" t="s">
        <v>79</v>
      </c>
      <c r="L600" s="2">
        <v>11277674</v>
      </c>
      <c r="M600" s="2">
        <v>2695703</v>
      </c>
      <c r="N600" s="2">
        <v>0</v>
      </c>
      <c r="O600" s="2">
        <v>626868</v>
      </c>
      <c r="P600" t="s">
        <v>24</v>
      </c>
      <c r="Q600" t="s">
        <v>24</v>
      </c>
    </row>
    <row r="601" spans="1:17" x14ac:dyDescent="0.25">
      <c r="A601" t="s">
        <v>728</v>
      </c>
      <c r="B601" t="s">
        <v>729</v>
      </c>
      <c r="C601" s="1">
        <v>41275</v>
      </c>
      <c r="D601" s="1">
        <v>41639</v>
      </c>
      <c r="E601" t="s">
        <v>104</v>
      </c>
      <c r="G601" t="s">
        <v>28</v>
      </c>
      <c r="H601" t="s">
        <v>29</v>
      </c>
      <c r="I601" t="str">
        <f>"60680"</f>
        <v>60680</v>
      </c>
      <c r="J601" t="s">
        <v>22</v>
      </c>
      <c r="K601" t="s">
        <v>30</v>
      </c>
      <c r="L601" s="2">
        <v>11259563</v>
      </c>
      <c r="M601" s="2">
        <v>2836891</v>
      </c>
      <c r="N601" s="2">
        <v>0</v>
      </c>
      <c r="O601" s="2">
        <v>606941</v>
      </c>
      <c r="P601" t="s">
        <v>24</v>
      </c>
      <c r="Q601" t="s">
        <v>24</v>
      </c>
    </row>
    <row r="602" spans="1:17" x14ac:dyDescent="0.25">
      <c r="A602" t="s">
        <v>7010</v>
      </c>
      <c r="B602" t="s">
        <v>7011</v>
      </c>
      <c r="C602" s="1">
        <v>41275</v>
      </c>
      <c r="D602" s="1">
        <v>41639</v>
      </c>
      <c r="E602" t="s">
        <v>7012</v>
      </c>
      <c r="G602" t="s">
        <v>2824</v>
      </c>
      <c r="H602" t="s">
        <v>62</v>
      </c>
      <c r="I602" t="str">
        <f>"45069"</f>
        <v>45069</v>
      </c>
      <c r="J602" t="s">
        <v>63</v>
      </c>
      <c r="K602" t="s">
        <v>64</v>
      </c>
      <c r="L602" s="2">
        <v>11237543</v>
      </c>
      <c r="M602" s="2">
        <v>2692827</v>
      </c>
      <c r="N602" s="2">
        <v>0</v>
      </c>
      <c r="O602" s="2">
        <v>1125464</v>
      </c>
      <c r="P602" s="2">
        <v>172077</v>
      </c>
      <c r="Q602" s="2">
        <v>275936</v>
      </c>
    </row>
    <row r="603" spans="1:17" x14ac:dyDescent="0.25">
      <c r="A603" t="s">
        <v>4678</v>
      </c>
      <c r="B603" t="s">
        <v>4679</v>
      </c>
      <c r="C603" s="1">
        <v>41091</v>
      </c>
      <c r="D603" s="1">
        <v>41455</v>
      </c>
      <c r="E603" t="s">
        <v>4680</v>
      </c>
      <c r="G603" t="s">
        <v>1625</v>
      </c>
      <c r="H603" t="s">
        <v>42</v>
      </c>
      <c r="I603" t="str">
        <f>"53005"</f>
        <v>53005</v>
      </c>
      <c r="J603" t="s">
        <v>22</v>
      </c>
      <c r="K603" t="s">
        <v>23</v>
      </c>
      <c r="L603" s="2">
        <v>11202442</v>
      </c>
      <c r="M603" s="2">
        <v>2828640</v>
      </c>
      <c r="N603" s="2">
        <v>0</v>
      </c>
      <c r="O603" s="2">
        <v>677634</v>
      </c>
      <c r="P603" t="s">
        <v>24</v>
      </c>
      <c r="Q603" t="s">
        <v>24</v>
      </c>
    </row>
    <row r="604" spans="1:17" x14ac:dyDescent="0.25">
      <c r="A604" t="s">
        <v>7159</v>
      </c>
      <c r="B604" t="s">
        <v>7160</v>
      </c>
      <c r="C604" s="1">
        <v>41061</v>
      </c>
      <c r="D604" s="1">
        <v>41425</v>
      </c>
      <c r="E604" t="s">
        <v>3465</v>
      </c>
      <c r="G604" t="s">
        <v>229</v>
      </c>
      <c r="H604" t="s">
        <v>29</v>
      </c>
      <c r="I604" t="str">
        <f>"61615"</f>
        <v>61615</v>
      </c>
      <c r="J604" t="s">
        <v>22</v>
      </c>
      <c r="K604" t="s">
        <v>23</v>
      </c>
      <c r="L604" s="2">
        <v>11198387</v>
      </c>
      <c r="M604" s="2">
        <v>312524</v>
      </c>
      <c r="N604" s="2">
        <v>0</v>
      </c>
      <c r="O604" s="2">
        <v>563793</v>
      </c>
      <c r="P604" t="s">
        <v>24</v>
      </c>
      <c r="Q604" t="s">
        <v>24</v>
      </c>
    </row>
    <row r="605" spans="1:17" x14ac:dyDescent="0.25">
      <c r="A605" t="s">
        <v>2964</v>
      </c>
      <c r="B605" t="s">
        <v>2965</v>
      </c>
      <c r="C605" s="1">
        <v>41275</v>
      </c>
      <c r="D605" s="1">
        <v>41639</v>
      </c>
      <c r="E605" t="s">
        <v>2966</v>
      </c>
      <c r="G605" t="s">
        <v>28</v>
      </c>
      <c r="H605" t="s">
        <v>29</v>
      </c>
      <c r="I605" t="str">
        <f>"60602"</f>
        <v>60602</v>
      </c>
      <c r="J605" t="s">
        <v>22</v>
      </c>
      <c r="K605" t="s">
        <v>23</v>
      </c>
      <c r="L605" s="2">
        <v>11190367</v>
      </c>
      <c r="M605" s="2">
        <v>3360085</v>
      </c>
      <c r="N605" s="2">
        <v>282</v>
      </c>
      <c r="O605" s="2">
        <v>674236</v>
      </c>
      <c r="P605" t="s">
        <v>24</v>
      </c>
      <c r="Q605" t="s">
        <v>24</v>
      </c>
    </row>
    <row r="606" spans="1:17" x14ac:dyDescent="0.25">
      <c r="A606" t="s">
        <v>2188</v>
      </c>
      <c r="B606" t="s">
        <v>2189</v>
      </c>
      <c r="C606" s="1">
        <v>41275</v>
      </c>
      <c r="D606" s="1">
        <v>41639</v>
      </c>
      <c r="E606" t="s">
        <v>2190</v>
      </c>
      <c r="G606" t="s">
        <v>1028</v>
      </c>
      <c r="H606" t="s">
        <v>47</v>
      </c>
      <c r="I606" t="str">
        <f>"48104"</f>
        <v>48104</v>
      </c>
      <c r="J606" t="s">
        <v>22</v>
      </c>
      <c r="K606" t="s">
        <v>91</v>
      </c>
      <c r="L606" s="2">
        <v>11126107</v>
      </c>
      <c r="M606" s="2">
        <v>4904491</v>
      </c>
      <c r="N606" s="2">
        <v>0</v>
      </c>
      <c r="O606" s="2">
        <v>527536</v>
      </c>
      <c r="P606" t="s">
        <v>24</v>
      </c>
      <c r="Q606" t="s">
        <v>24</v>
      </c>
    </row>
    <row r="607" spans="1:17" x14ac:dyDescent="0.25">
      <c r="A607" t="s">
        <v>966</v>
      </c>
      <c r="B607" t="s">
        <v>967</v>
      </c>
      <c r="C607" s="1">
        <v>41456</v>
      </c>
      <c r="D607" s="1">
        <v>41820</v>
      </c>
      <c r="E607" t="s">
        <v>968</v>
      </c>
      <c r="G607" t="s">
        <v>833</v>
      </c>
      <c r="H607" t="s">
        <v>29</v>
      </c>
      <c r="I607" t="str">
        <f>"61704"</f>
        <v>61704</v>
      </c>
      <c r="J607" t="s">
        <v>63</v>
      </c>
      <c r="K607" t="s">
        <v>64</v>
      </c>
      <c r="L607" s="2">
        <v>11099524</v>
      </c>
      <c r="M607" s="2">
        <v>1917000</v>
      </c>
      <c r="N607" s="2">
        <v>7826</v>
      </c>
      <c r="O607" s="2">
        <v>1320027</v>
      </c>
      <c r="P607" s="2">
        <v>167968</v>
      </c>
      <c r="Q607" s="2">
        <v>37112</v>
      </c>
    </row>
    <row r="608" spans="1:17" x14ac:dyDescent="0.25">
      <c r="A608" t="s">
        <v>5766</v>
      </c>
      <c r="B608" t="s">
        <v>5767</v>
      </c>
      <c r="C608" s="1">
        <v>41275</v>
      </c>
      <c r="D608" s="1">
        <v>41639</v>
      </c>
      <c r="E608" t="s">
        <v>1729</v>
      </c>
      <c r="G608" t="s">
        <v>1730</v>
      </c>
      <c r="H608" t="s">
        <v>29</v>
      </c>
      <c r="I608" t="str">
        <f>"61265"</f>
        <v>61265</v>
      </c>
      <c r="J608" t="s">
        <v>22</v>
      </c>
      <c r="K608" t="s">
        <v>23</v>
      </c>
      <c r="L608" s="2">
        <v>11095734</v>
      </c>
      <c r="M608" s="2">
        <v>2365126</v>
      </c>
      <c r="N608" s="2">
        <v>0</v>
      </c>
      <c r="O608" s="2">
        <v>602271</v>
      </c>
      <c r="P608" t="s">
        <v>24</v>
      </c>
      <c r="Q608" t="s">
        <v>24</v>
      </c>
    </row>
    <row r="609" spans="1:17" x14ac:dyDescent="0.25">
      <c r="A609" t="s">
        <v>425</v>
      </c>
      <c r="B609" t="s">
        <v>426</v>
      </c>
      <c r="C609" s="1">
        <v>40909</v>
      </c>
      <c r="D609" s="1">
        <v>41274</v>
      </c>
      <c r="E609" t="s">
        <v>427</v>
      </c>
      <c r="G609" t="s">
        <v>428</v>
      </c>
      <c r="H609" t="s">
        <v>29</v>
      </c>
      <c r="I609" t="str">
        <f>"60178"</f>
        <v>60178</v>
      </c>
      <c r="J609" t="s">
        <v>22</v>
      </c>
      <c r="K609" t="s">
        <v>23</v>
      </c>
      <c r="L609" s="2">
        <v>11057119</v>
      </c>
      <c r="M609" s="2">
        <v>461433</v>
      </c>
      <c r="N609" s="2">
        <v>0</v>
      </c>
      <c r="O609" s="2">
        <v>498088</v>
      </c>
      <c r="P609" t="s">
        <v>24</v>
      </c>
      <c r="Q609" t="s">
        <v>24</v>
      </c>
    </row>
    <row r="610" spans="1:17" x14ac:dyDescent="0.25">
      <c r="A610" t="s">
        <v>2997</v>
      </c>
      <c r="B610" t="s">
        <v>2998</v>
      </c>
      <c r="C610" s="1">
        <v>41275</v>
      </c>
      <c r="D610" s="1">
        <v>41639</v>
      </c>
      <c r="E610" t="s">
        <v>2999</v>
      </c>
      <c r="G610" t="s">
        <v>3000</v>
      </c>
      <c r="H610" t="s">
        <v>47</v>
      </c>
      <c r="I610" t="str">
        <f>"48750"</f>
        <v>48750</v>
      </c>
      <c r="J610" t="s">
        <v>22</v>
      </c>
      <c r="K610" t="s">
        <v>23</v>
      </c>
      <c r="L610" s="2">
        <v>11039830</v>
      </c>
      <c r="M610" s="2">
        <v>2035634</v>
      </c>
      <c r="N610" s="2">
        <v>2325</v>
      </c>
      <c r="O610" s="2">
        <v>601119</v>
      </c>
      <c r="P610" t="s">
        <v>24</v>
      </c>
      <c r="Q610" t="s">
        <v>24</v>
      </c>
    </row>
    <row r="611" spans="1:17" x14ac:dyDescent="0.25">
      <c r="A611" t="s">
        <v>2468</v>
      </c>
      <c r="B611" t="s">
        <v>2469</v>
      </c>
      <c r="C611" s="1">
        <v>41275</v>
      </c>
      <c r="D611" s="1">
        <v>41639</v>
      </c>
      <c r="E611" t="s">
        <v>2470</v>
      </c>
      <c r="G611" t="s">
        <v>2471</v>
      </c>
      <c r="H611" t="s">
        <v>47</v>
      </c>
      <c r="I611" t="str">
        <f>"49098"</f>
        <v>49098</v>
      </c>
      <c r="J611" t="s">
        <v>22</v>
      </c>
      <c r="K611" t="s">
        <v>30</v>
      </c>
      <c r="L611" s="2">
        <v>11034810</v>
      </c>
      <c r="M611" s="2">
        <v>8878960</v>
      </c>
      <c r="N611" s="2">
        <v>0</v>
      </c>
      <c r="O611" s="2">
        <v>209009</v>
      </c>
      <c r="P611" t="s">
        <v>24</v>
      </c>
      <c r="Q611" t="s">
        <v>24</v>
      </c>
    </row>
    <row r="612" spans="1:17" x14ac:dyDescent="0.25">
      <c r="A612" t="s">
        <v>2310</v>
      </c>
      <c r="B612" t="s">
        <v>2311</v>
      </c>
      <c r="C612" s="1">
        <v>41275</v>
      </c>
      <c r="D612" s="1">
        <v>41639</v>
      </c>
      <c r="E612" t="s">
        <v>2312</v>
      </c>
      <c r="G612" t="s">
        <v>167</v>
      </c>
      <c r="H612" t="s">
        <v>62</v>
      </c>
      <c r="I612" t="str">
        <f>"45202"</f>
        <v>45202</v>
      </c>
      <c r="J612" t="s">
        <v>22</v>
      </c>
      <c r="K612" t="s">
        <v>30</v>
      </c>
      <c r="L612" s="2">
        <v>11024675</v>
      </c>
      <c r="M612" s="2">
        <v>2503895</v>
      </c>
      <c r="N612" s="2">
        <v>0</v>
      </c>
      <c r="O612" s="2">
        <v>658875</v>
      </c>
      <c r="P612" t="s">
        <v>24</v>
      </c>
      <c r="Q612" t="s">
        <v>24</v>
      </c>
    </row>
    <row r="613" spans="1:17" x14ac:dyDescent="0.25">
      <c r="A613" t="s">
        <v>851</v>
      </c>
      <c r="B613" t="s">
        <v>852</v>
      </c>
      <c r="C613" s="1">
        <v>41091</v>
      </c>
      <c r="D613" s="1">
        <v>41455</v>
      </c>
      <c r="E613" t="s">
        <v>853</v>
      </c>
      <c r="G613" t="s">
        <v>854</v>
      </c>
      <c r="H613" t="s">
        <v>29</v>
      </c>
      <c r="I613" t="str">
        <f>"60026"</f>
        <v>60026</v>
      </c>
      <c r="J613" t="s">
        <v>63</v>
      </c>
      <c r="K613" t="s">
        <v>79</v>
      </c>
      <c r="L613" s="2">
        <v>11020718</v>
      </c>
      <c r="M613" s="2">
        <v>2802619</v>
      </c>
      <c r="N613" s="2">
        <v>3466730</v>
      </c>
      <c r="O613" s="2">
        <v>1492948</v>
      </c>
      <c r="P613" s="2">
        <v>327859</v>
      </c>
      <c r="Q613" s="2">
        <v>44915</v>
      </c>
    </row>
    <row r="614" spans="1:17" x14ac:dyDescent="0.25">
      <c r="A614" t="s">
        <v>6235</v>
      </c>
      <c r="B614" t="s">
        <v>6236</v>
      </c>
      <c r="C614" s="1">
        <v>40909</v>
      </c>
      <c r="D614" s="1">
        <v>41274</v>
      </c>
      <c r="E614" t="s">
        <v>6237</v>
      </c>
      <c r="G614" t="s">
        <v>6238</v>
      </c>
      <c r="H614" t="s">
        <v>29</v>
      </c>
      <c r="I614" t="str">
        <f>"62568"</f>
        <v>62568</v>
      </c>
      <c r="J614" t="s">
        <v>22</v>
      </c>
      <c r="K614" t="s">
        <v>30</v>
      </c>
      <c r="L614" s="2">
        <v>11017622</v>
      </c>
      <c r="M614" s="2">
        <v>562757</v>
      </c>
      <c r="N614" s="2">
        <v>1735</v>
      </c>
      <c r="O614" s="2">
        <v>524155</v>
      </c>
      <c r="P614" t="s">
        <v>24</v>
      </c>
      <c r="Q614" t="s">
        <v>24</v>
      </c>
    </row>
    <row r="615" spans="1:17" x14ac:dyDescent="0.25">
      <c r="A615" t="s">
        <v>1373</v>
      </c>
      <c r="B615" t="s">
        <v>1374</v>
      </c>
      <c r="C615" s="1">
        <v>40909</v>
      </c>
      <c r="D615" s="1">
        <v>41274</v>
      </c>
      <c r="E615" t="s">
        <v>1375</v>
      </c>
      <c r="G615" t="s">
        <v>1376</v>
      </c>
      <c r="H615" t="s">
        <v>29</v>
      </c>
      <c r="I615" t="str">
        <f>"60010"</f>
        <v>60010</v>
      </c>
      <c r="J615" t="s">
        <v>22</v>
      </c>
      <c r="K615" t="s">
        <v>30</v>
      </c>
      <c r="L615" s="2">
        <v>11009267</v>
      </c>
      <c r="M615" s="2">
        <v>2246460</v>
      </c>
      <c r="N615" s="2">
        <v>0</v>
      </c>
      <c r="O615" s="2">
        <v>701487</v>
      </c>
      <c r="P615" t="s">
        <v>24</v>
      </c>
      <c r="Q615" t="s">
        <v>24</v>
      </c>
    </row>
    <row r="616" spans="1:17" x14ac:dyDescent="0.25">
      <c r="A616" t="s">
        <v>3297</v>
      </c>
      <c r="B616" t="s">
        <v>3298</v>
      </c>
      <c r="C616" s="1">
        <v>41275</v>
      </c>
      <c r="D616" s="1">
        <v>41639</v>
      </c>
      <c r="E616" t="s">
        <v>3299</v>
      </c>
      <c r="G616" t="s">
        <v>3300</v>
      </c>
      <c r="H616" t="s">
        <v>78</v>
      </c>
      <c r="I616" t="str">
        <f>"41017"</f>
        <v>41017</v>
      </c>
      <c r="J616" t="s">
        <v>22</v>
      </c>
      <c r="K616" t="s">
        <v>30</v>
      </c>
      <c r="L616" s="2">
        <v>10992116</v>
      </c>
      <c r="M616" s="2">
        <v>13078890</v>
      </c>
      <c r="N616" s="2">
        <v>0</v>
      </c>
      <c r="O616" s="2">
        <v>552683</v>
      </c>
      <c r="P616" t="s">
        <v>24</v>
      </c>
      <c r="Q616" t="s">
        <v>24</v>
      </c>
    </row>
    <row r="617" spans="1:17" x14ac:dyDescent="0.25">
      <c r="A617" t="s">
        <v>5022</v>
      </c>
      <c r="B617" t="s">
        <v>5023</v>
      </c>
      <c r="C617" s="1">
        <v>41579</v>
      </c>
      <c r="D617" s="1">
        <v>41943</v>
      </c>
      <c r="E617" t="s">
        <v>5024</v>
      </c>
      <c r="G617" t="s">
        <v>3187</v>
      </c>
      <c r="H617" t="s">
        <v>62</v>
      </c>
      <c r="I617" t="str">
        <f>"43058"</f>
        <v>43058</v>
      </c>
      <c r="J617" t="s">
        <v>63</v>
      </c>
      <c r="K617" t="s">
        <v>23</v>
      </c>
      <c r="L617" s="2">
        <v>10971324</v>
      </c>
      <c r="M617" s="2">
        <v>1435598</v>
      </c>
      <c r="N617" s="2">
        <v>125000</v>
      </c>
      <c r="O617" s="2">
        <v>289503</v>
      </c>
      <c r="P617" s="2">
        <v>6128</v>
      </c>
      <c r="Q617" s="2">
        <v>0</v>
      </c>
    </row>
    <row r="618" spans="1:17" x14ac:dyDescent="0.25">
      <c r="A618" t="s">
        <v>4932</v>
      </c>
      <c r="B618" t="s">
        <v>4933</v>
      </c>
      <c r="C618" s="1">
        <v>41275</v>
      </c>
      <c r="D618" s="1">
        <v>41639</v>
      </c>
      <c r="E618" t="s">
        <v>4934</v>
      </c>
      <c r="G618" t="s">
        <v>4935</v>
      </c>
      <c r="H618" t="s">
        <v>29</v>
      </c>
      <c r="I618" t="str">
        <f>"60464"</f>
        <v>60464</v>
      </c>
      <c r="J618" t="s">
        <v>22</v>
      </c>
      <c r="K618" t="s">
        <v>23</v>
      </c>
      <c r="L618" s="2">
        <v>10942346</v>
      </c>
      <c r="M618" s="2">
        <v>12432567</v>
      </c>
      <c r="N618" s="2">
        <v>3046741</v>
      </c>
      <c r="O618" s="2">
        <v>73918</v>
      </c>
      <c r="P618" t="s">
        <v>24</v>
      </c>
      <c r="Q618" t="s">
        <v>24</v>
      </c>
    </row>
    <row r="619" spans="1:17" x14ac:dyDescent="0.25">
      <c r="A619" t="s">
        <v>5174</v>
      </c>
      <c r="B619" t="s">
        <v>5175</v>
      </c>
      <c r="C619" s="1">
        <v>41275</v>
      </c>
      <c r="D619" s="1">
        <v>41639</v>
      </c>
      <c r="E619" t="s">
        <v>668</v>
      </c>
      <c r="G619" t="s">
        <v>28</v>
      </c>
      <c r="H619" t="s">
        <v>29</v>
      </c>
      <c r="I619" t="str">
        <f>"60606"</f>
        <v>60606</v>
      </c>
      <c r="J619" t="s">
        <v>22</v>
      </c>
      <c r="K619" t="s">
        <v>23</v>
      </c>
      <c r="L619" s="2">
        <v>10913377</v>
      </c>
      <c r="M619" s="2">
        <v>5672318</v>
      </c>
      <c r="N619" s="2">
        <v>0</v>
      </c>
      <c r="O619" s="2">
        <v>453465</v>
      </c>
      <c r="P619" t="s">
        <v>24</v>
      </c>
      <c r="Q619" t="s">
        <v>24</v>
      </c>
    </row>
    <row r="620" spans="1:17" x14ac:dyDescent="0.25">
      <c r="A620" t="s">
        <v>6309</v>
      </c>
      <c r="B620" t="s">
        <v>6310</v>
      </c>
      <c r="C620" s="1">
        <v>41548</v>
      </c>
      <c r="D620" s="1">
        <v>41912</v>
      </c>
      <c r="E620" t="s">
        <v>6311</v>
      </c>
      <c r="G620" t="s">
        <v>6312</v>
      </c>
      <c r="H620" t="s">
        <v>29</v>
      </c>
      <c r="I620" t="str">
        <f>"61834"</f>
        <v>61834</v>
      </c>
      <c r="J620" t="s">
        <v>22</v>
      </c>
      <c r="K620" t="s">
        <v>30</v>
      </c>
      <c r="L620" s="2">
        <v>10895737</v>
      </c>
      <c r="M620" s="2">
        <v>7396445</v>
      </c>
      <c r="N620" s="2">
        <v>7970</v>
      </c>
      <c r="O620" s="2">
        <v>686641</v>
      </c>
      <c r="P620" t="s">
        <v>24</v>
      </c>
      <c r="Q620" t="s">
        <v>24</v>
      </c>
    </row>
    <row r="621" spans="1:17" x14ac:dyDescent="0.25">
      <c r="A621" t="s">
        <v>7510</v>
      </c>
      <c r="B621" t="s">
        <v>7511</v>
      </c>
      <c r="C621" s="1">
        <v>41183</v>
      </c>
      <c r="D621" s="1">
        <v>41547</v>
      </c>
      <c r="E621" t="s">
        <v>7512</v>
      </c>
      <c r="G621" t="s">
        <v>57</v>
      </c>
      <c r="H621" t="s">
        <v>29</v>
      </c>
      <c r="I621" t="str">
        <f>"60523"</f>
        <v>60523</v>
      </c>
      <c r="J621" t="s">
        <v>22</v>
      </c>
      <c r="K621" t="s">
        <v>30</v>
      </c>
      <c r="L621" s="2">
        <v>10882480</v>
      </c>
      <c r="M621" s="2">
        <v>14678422</v>
      </c>
      <c r="N621" s="2">
        <v>0</v>
      </c>
      <c r="O621" s="2">
        <v>686777</v>
      </c>
      <c r="P621" t="s">
        <v>24</v>
      </c>
      <c r="Q621" t="s">
        <v>24</v>
      </c>
    </row>
    <row r="622" spans="1:17" x14ac:dyDescent="0.25">
      <c r="A622" t="s">
        <v>6170</v>
      </c>
      <c r="B622" t="s">
        <v>6171</v>
      </c>
      <c r="C622" s="1">
        <v>41275</v>
      </c>
      <c r="D622" s="1">
        <v>41639</v>
      </c>
      <c r="E622" t="s">
        <v>6172</v>
      </c>
      <c r="G622" t="s">
        <v>416</v>
      </c>
      <c r="H622" t="s">
        <v>29</v>
      </c>
      <c r="I622" t="str">
        <f>"60067"</f>
        <v>60067</v>
      </c>
      <c r="J622" t="s">
        <v>22</v>
      </c>
      <c r="K622" t="s">
        <v>23</v>
      </c>
      <c r="L622" s="2">
        <v>10827802</v>
      </c>
      <c r="M622" s="2">
        <v>2832260</v>
      </c>
      <c r="N622" s="2">
        <v>0</v>
      </c>
      <c r="O622" s="2">
        <v>530940</v>
      </c>
      <c r="P622" t="s">
        <v>24</v>
      </c>
      <c r="Q622" t="s">
        <v>24</v>
      </c>
    </row>
    <row r="623" spans="1:17" x14ac:dyDescent="0.25">
      <c r="A623" t="s">
        <v>3498</v>
      </c>
      <c r="B623" t="s">
        <v>3499</v>
      </c>
      <c r="C623" s="1">
        <v>41091</v>
      </c>
      <c r="D623" s="1">
        <v>41455</v>
      </c>
      <c r="E623" t="s">
        <v>3500</v>
      </c>
      <c r="G623" t="s">
        <v>2916</v>
      </c>
      <c r="H623" t="s">
        <v>42</v>
      </c>
      <c r="I623" t="str">
        <f>"54235"</f>
        <v>54235</v>
      </c>
      <c r="J623" t="s">
        <v>63</v>
      </c>
      <c r="K623" t="s">
        <v>64</v>
      </c>
      <c r="L623" s="2">
        <v>10805399</v>
      </c>
      <c r="M623" s="2">
        <v>3504041</v>
      </c>
      <c r="N623" s="2">
        <v>3217663</v>
      </c>
      <c r="O623" s="2">
        <v>610275</v>
      </c>
      <c r="P623" s="2">
        <v>83570</v>
      </c>
      <c r="Q623" s="2">
        <v>33326</v>
      </c>
    </row>
    <row r="624" spans="1:17" x14ac:dyDescent="0.25">
      <c r="A624" t="s">
        <v>3574</v>
      </c>
      <c r="B624" t="s">
        <v>3575</v>
      </c>
      <c r="C624" s="1">
        <v>41275</v>
      </c>
      <c r="D624" s="1">
        <v>41639</v>
      </c>
      <c r="E624" t="s">
        <v>104</v>
      </c>
      <c r="G624" t="s">
        <v>28</v>
      </c>
      <c r="H624" t="s">
        <v>29</v>
      </c>
      <c r="I624" t="str">
        <f>"60680"</f>
        <v>60680</v>
      </c>
      <c r="J624" t="s">
        <v>22</v>
      </c>
      <c r="K624" t="s">
        <v>23</v>
      </c>
      <c r="L624" s="2">
        <v>10796066</v>
      </c>
      <c r="M624" s="2">
        <v>5172043</v>
      </c>
      <c r="N624" s="2">
        <v>0</v>
      </c>
      <c r="O624" s="2">
        <v>377067</v>
      </c>
      <c r="P624" t="s">
        <v>24</v>
      </c>
      <c r="Q624" t="s">
        <v>24</v>
      </c>
    </row>
    <row r="625" spans="1:17" x14ac:dyDescent="0.25">
      <c r="A625" t="s">
        <v>2011</v>
      </c>
      <c r="B625" t="s">
        <v>2012</v>
      </c>
      <c r="C625" s="1">
        <v>41275</v>
      </c>
      <c r="D625" s="1">
        <v>41639</v>
      </c>
      <c r="E625" t="s">
        <v>2013</v>
      </c>
      <c r="G625" t="s">
        <v>2014</v>
      </c>
      <c r="H625" t="s">
        <v>21</v>
      </c>
      <c r="I625" t="str">
        <f>"47371"</f>
        <v>47371</v>
      </c>
      <c r="J625" t="s">
        <v>63</v>
      </c>
      <c r="K625" t="s">
        <v>79</v>
      </c>
      <c r="L625" s="2">
        <v>10789971</v>
      </c>
      <c r="M625" s="2">
        <v>578774</v>
      </c>
      <c r="N625" s="2">
        <v>0</v>
      </c>
      <c r="O625" s="2">
        <v>437977</v>
      </c>
      <c r="P625" s="2">
        <v>31723</v>
      </c>
      <c r="Q625" s="2">
        <v>0</v>
      </c>
    </row>
    <row r="626" spans="1:17" x14ac:dyDescent="0.25">
      <c r="A626" t="s">
        <v>6339</v>
      </c>
      <c r="B626" t="s">
        <v>6340</v>
      </c>
      <c r="C626" s="1">
        <v>41275</v>
      </c>
      <c r="D626" s="1">
        <v>41639</v>
      </c>
      <c r="E626" t="s">
        <v>6341</v>
      </c>
      <c r="G626" t="s">
        <v>28</v>
      </c>
      <c r="H626" t="s">
        <v>29</v>
      </c>
      <c r="I626" t="str">
        <f>"60661"</f>
        <v>60661</v>
      </c>
      <c r="J626" t="s">
        <v>22</v>
      </c>
      <c r="K626" t="s">
        <v>30</v>
      </c>
      <c r="L626" s="2">
        <v>10767205</v>
      </c>
      <c r="M626" s="2">
        <v>5040757</v>
      </c>
      <c r="N626" s="2">
        <v>0</v>
      </c>
      <c r="O626" s="2">
        <v>640964</v>
      </c>
      <c r="P626" t="s">
        <v>24</v>
      </c>
      <c r="Q626" t="s">
        <v>24</v>
      </c>
    </row>
    <row r="627" spans="1:17" x14ac:dyDescent="0.25">
      <c r="A627" t="s">
        <v>1642</v>
      </c>
      <c r="B627" t="s">
        <v>1643</v>
      </c>
      <c r="C627" s="1">
        <v>41365</v>
      </c>
      <c r="D627" s="1">
        <v>41729</v>
      </c>
      <c r="E627" t="s">
        <v>1644</v>
      </c>
      <c r="G627" t="s">
        <v>191</v>
      </c>
      <c r="H627" t="s">
        <v>62</v>
      </c>
      <c r="I627" t="str">
        <f>"44702"</f>
        <v>44702</v>
      </c>
      <c r="J627" t="s">
        <v>63</v>
      </c>
      <c r="K627" t="s">
        <v>79</v>
      </c>
      <c r="L627" s="2">
        <v>10766759</v>
      </c>
      <c r="M627" s="2">
        <v>7205406</v>
      </c>
      <c r="N627" s="2">
        <v>426064</v>
      </c>
      <c r="O627" s="2">
        <v>7067383</v>
      </c>
      <c r="P627" s="2">
        <v>373329</v>
      </c>
      <c r="Q627" s="2">
        <v>716806</v>
      </c>
    </row>
    <row r="628" spans="1:17" x14ac:dyDescent="0.25">
      <c r="A628" t="s">
        <v>5216</v>
      </c>
      <c r="B628" t="s">
        <v>5217</v>
      </c>
      <c r="C628" s="1">
        <v>41365</v>
      </c>
      <c r="D628" s="1">
        <v>41729</v>
      </c>
      <c r="E628" t="s">
        <v>5218</v>
      </c>
      <c r="G628" t="s">
        <v>776</v>
      </c>
      <c r="H628" t="s">
        <v>62</v>
      </c>
      <c r="I628" t="str">
        <f>"44040"</f>
        <v>44040</v>
      </c>
      <c r="J628" t="s">
        <v>22</v>
      </c>
      <c r="K628" t="s">
        <v>23</v>
      </c>
      <c r="L628" s="2">
        <v>10754595</v>
      </c>
      <c r="M628" s="2">
        <v>345615</v>
      </c>
      <c r="N628" s="2">
        <v>0</v>
      </c>
      <c r="O628" s="2">
        <v>901420</v>
      </c>
      <c r="P628" t="s">
        <v>24</v>
      </c>
      <c r="Q628" t="s">
        <v>24</v>
      </c>
    </row>
    <row r="629" spans="1:17" x14ac:dyDescent="0.25">
      <c r="A629" t="s">
        <v>7309</v>
      </c>
      <c r="B629" t="s">
        <v>7310</v>
      </c>
      <c r="C629" s="1">
        <v>41275</v>
      </c>
      <c r="D629" s="1">
        <v>41639</v>
      </c>
      <c r="E629" t="s">
        <v>7311</v>
      </c>
      <c r="G629" t="s">
        <v>28</v>
      </c>
      <c r="H629" t="s">
        <v>29</v>
      </c>
      <c r="I629" t="str">
        <f>"60615"</f>
        <v>60615</v>
      </c>
      <c r="J629" t="s">
        <v>22</v>
      </c>
      <c r="K629" t="s">
        <v>23</v>
      </c>
      <c r="L629" s="2">
        <v>10716363</v>
      </c>
      <c r="M629" s="2">
        <v>2605450</v>
      </c>
      <c r="N629" s="2">
        <v>0</v>
      </c>
      <c r="O629" s="2">
        <v>510031</v>
      </c>
      <c r="P629" t="s">
        <v>24</v>
      </c>
      <c r="Q629" t="s">
        <v>24</v>
      </c>
    </row>
    <row r="630" spans="1:17" x14ac:dyDescent="0.25">
      <c r="A630" t="s">
        <v>1101</v>
      </c>
      <c r="B630" t="s">
        <v>1102</v>
      </c>
      <c r="C630" s="1">
        <v>41183</v>
      </c>
      <c r="D630" s="1">
        <v>41547</v>
      </c>
      <c r="E630" t="s">
        <v>1103</v>
      </c>
      <c r="G630" t="s">
        <v>1104</v>
      </c>
      <c r="H630" t="s">
        <v>47</v>
      </c>
      <c r="I630" t="str">
        <f>"48847"</f>
        <v>48847</v>
      </c>
      <c r="J630" t="s">
        <v>63</v>
      </c>
      <c r="K630" t="s">
        <v>64</v>
      </c>
      <c r="L630" s="2">
        <v>10705543</v>
      </c>
      <c r="M630" s="2">
        <v>1980188</v>
      </c>
      <c r="N630" s="2">
        <v>226471</v>
      </c>
      <c r="O630" s="2">
        <v>875281</v>
      </c>
      <c r="P630" s="2">
        <v>226673</v>
      </c>
      <c r="Q630" s="2">
        <v>0</v>
      </c>
    </row>
    <row r="631" spans="1:17" x14ac:dyDescent="0.25">
      <c r="A631" t="s">
        <v>7399</v>
      </c>
      <c r="B631" t="s">
        <v>7400</v>
      </c>
      <c r="C631" s="1">
        <v>41275</v>
      </c>
      <c r="D631" s="1">
        <v>41639</v>
      </c>
      <c r="E631" t="s">
        <v>7401</v>
      </c>
      <c r="G631" t="s">
        <v>28</v>
      </c>
      <c r="H631" t="s">
        <v>29</v>
      </c>
      <c r="I631" t="str">
        <f>"60601"</f>
        <v>60601</v>
      </c>
      <c r="J631" t="s">
        <v>22</v>
      </c>
      <c r="K631" t="s">
        <v>23</v>
      </c>
      <c r="L631" s="2">
        <v>10697695</v>
      </c>
      <c r="M631" s="2">
        <v>50049570</v>
      </c>
      <c r="N631" s="2">
        <v>0</v>
      </c>
      <c r="O631" s="2">
        <v>114084</v>
      </c>
      <c r="P631" t="s">
        <v>24</v>
      </c>
      <c r="Q631" t="s">
        <v>24</v>
      </c>
    </row>
    <row r="632" spans="1:17" x14ac:dyDescent="0.25">
      <c r="A632" t="s">
        <v>5866</v>
      </c>
      <c r="B632" t="s">
        <v>5867</v>
      </c>
      <c r="C632" s="1">
        <v>41275</v>
      </c>
      <c r="D632" s="1">
        <v>41639</v>
      </c>
      <c r="E632" t="s">
        <v>5868</v>
      </c>
      <c r="G632" t="s">
        <v>2759</v>
      </c>
      <c r="H632" t="s">
        <v>29</v>
      </c>
      <c r="I632" t="str">
        <f>"60093"</f>
        <v>60093</v>
      </c>
      <c r="J632" t="s">
        <v>22</v>
      </c>
      <c r="K632" t="s">
        <v>30</v>
      </c>
      <c r="L632" s="2">
        <v>10678039</v>
      </c>
      <c r="M632" s="2">
        <v>3933334</v>
      </c>
      <c r="N632" s="2">
        <v>0</v>
      </c>
      <c r="O632" s="2">
        <v>804785</v>
      </c>
      <c r="P632" t="s">
        <v>24</v>
      </c>
      <c r="Q632" t="s">
        <v>24</v>
      </c>
    </row>
    <row r="633" spans="1:17" x14ac:dyDescent="0.25">
      <c r="A633" t="s">
        <v>6435</v>
      </c>
      <c r="B633" t="s">
        <v>6436</v>
      </c>
      <c r="C633" s="1">
        <v>41275</v>
      </c>
      <c r="D633" s="1">
        <v>41639</v>
      </c>
      <c r="E633" t="s">
        <v>352</v>
      </c>
      <c r="G633" t="s">
        <v>353</v>
      </c>
      <c r="H633" t="s">
        <v>62</v>
      </c>
      <c r="I633" t="str">
        <f>"43205"</f>
        <v>43205</v>
      </c>
      <c r="J633" t="s">
        <v>63</v>
      </c>
      <c r="K633" t="s">
        <v>23</v>
      </c>
      <c r="L633" s="2">
        <v>10670323</v>
      </c>
      <c r="M633" s="2">
        <v>1007180</v>
      </c>
      <c r="N633" s="2">
        <v>397750</v>
      </c>
      <c r="O633" s="2">
        <v>592726</v>
      </c>
      <c r="P633" s="2">
        <v>69126</v>
      </c>
      <c r="Q633" s="2">
        <v>0</v>
      </c>
    </row>
    <row r="634" spans="1:17" x14ac:dyDescent="0.25">
      <c r="A634" t="s">
        <v>3815</v>
      </c>
      <c r="B634" t="s">
        <v>3816</v>
      </c>
      <c r="C634" s="1">
        <v>41275</v>
      </c>
      <c r="D634" s="1">
        <v>41639</v>
      </c>
      <c r="E634" t="s">
        <v>3817</v>
      </c>
      <c r="G634" t="s">
        <v>237</v>
      </c>
      <c r="H634" t="s">
        <v>42</v>
      </c>
      <c r="I634" t="str">
        <f>"54601"</f>
        <v>54601</v>
      </c>
      <c r="J634" t="s">
        <v>22</v>
      </c>
      <c r="K634" t="s">
        <v>30</v>
      </c>
      <c r="L634" s="2">
        <v>10656810</v>
      </c>
      <c r="M634" s="2">
        <v>3717559</v>
      </c>
      <c r="N634" s="2">
        <v>0</v>
      </c>
      <c r="O634" s="2">
        <v>526745</v>
      </c>
      <c r="P634" t="s">
        <v>24</v>
      </c>
      <c r="Q634" t="s">
        <v>24</v>
      </c>
    </row>
    <row r="635" spans="1:17" x14ac:dyDescent="0.25">
      <c r="A635" t="s">
        <v>2658</v>
      </c>
      <c r="B635" t="s">
        <v>2659</v>
      </c>
      <c r="C635" s="1">
        <v>41275</v>
      </c>
      <c r="D635" s="1">
        <v>41639</v>
      </c>
      <c r="E635" t="s">
        <v>2660</v>
      </c>
      <c r="G635" t="s">
        <v>2661</v>
      </c>
      <c r="H635" t="s">
        <v>29</v>
      </c>
      <c r="I635" t="str">
        <f>"62353"</f>
        <v>62353</v>
      </c>
      <c r="J635" t="s">
        <v>22</v>
      </c>
      <c r="K635" t="s">
        <v>30</v>
      </c>
      <c r="L635" s="2">
        <v>10613334</v>
      </c>
      <c r="M635" s="2">
        <v>3593976</v>
      </c>
      <c r="N635" s="2">
        <v>218250</v>
      </c>
      <c r="O635" s="2">
        <v>2660964</v>
      </c>
      <c r="P635" t="s">
        <v>24</v>
      </c>
      <c r="Q635" t="s">
        <v>24</v>
      </c>
    </row>
    <row r="636" spans="1:17" x14ac:dyDescent="0.25">
      <c r="A636" t="s">
        <v>6471</v>
      </c>
      <c r="B636" t="s">
        <v>6472</v>
      </c>
      <c r="C636" s="1">
        <v>41275</v>
      </c>
      <c r="D636" s="1">
        <v>41639</v>
      </c>
      <c r="E636" t="s">
        <v>6473</v>
      </c>
      <c r="G636" t="s">
        <v>86</v>
      </c>
      <c r="H636" t="s">
        <v>42</v>
      </c>
      <c r="I636" t="str">
        <f>"53717"</f>
        <v>53717</v>
      </c>
      <c r="J636" t="s">
        <v>22</v>
      </c>
      <c r="K636" t="s">
        <v>23</v>
      </c>
      <c r="L636" s="2">
        <v>10594222</v>
      </c>
      <c r="M636" s="2">
        <v>2407179</v>
      </c>
      <c r="N636" s="2">
        <v>0</v>
      </c>
      <c r="O636" s="2">
        <v>487181</v>
      </c>
      <c r="P636" t="s">
        <v>24</v>
      </c>
      <c r="Q636" t="s">
        <v>24</v>
      </c>
    </row>
    <row r="637" spans="1:17" x14ac:dyDescent="0.25">
      <c r="A637" t="s">
        <v>3680</v>
      </c>
      <c r="B637" t="s">
        <v>3681</v>
      </c>
      <c r="C637" s="1">
        <v>41275</v>
      </c>
      <c r="D637" s="1">
        <v>41639</v>
      </c>
      <c r="E637" t="s">
        <v>3682</v>
      </c>
      <c r="G637" t="s">
        <v>965</v>
      </c>
      <c r="H637" t="s">
        <v>29</v>
      </c>
      <c r="I637" t="str">
        <f>"62523"</f>
        <v>62523</v>
      </c>
      <c r="J637" t="s">
        <v>22</v>
      </c>
      <c r="K637" t="s">
        <v>30</v>
      </c>
      <c r="L637" s="2">
        <v>10582010</v>
      </c>
      <c r="M637" s="2">
        <v>3110781</v>
      </c>
      <c r="N637" s="2">
        <v>0</v>
      </c>
      <c r="O637" s="2">
        <v>523692</v>
      </c>
      <c r="P637" t="s">
        <v>24</v>
      </c>
      <c r="Q637" t="s">
        <v>24</v>
      </c>
    </row>
    <row r="638" spans="1:17" x14ac:dyDescent="0.25">
      <c r="A638" t="s">
        <v>6474</v>
      </c>
      <c r="B638" t="s">
        <v>6475</v>
      </c>
      <c r="C638" s="1">
        <v>41244</v>
      </c>
      <c r="D638" s="1">
        <v>41608</v>
      </c>
      <c r="E638" t="s">
        <v>104</v>
      </c>
      <c r="G638" t="s">
        <v>28</v>
      </c>
      <c r="H638" t="s">
        <v>29</v>
      </c>
      <c r="I638" t="str">
        <f>"60680"</f>
        <v>60680</v>
      </c>
      <c r="J638" t="s">
        <v>22</v>
      </c>
      <c r="K638" t="s">
        <v>23</v>
      </c>
      <c r="L638" s="2">
        <v>10539045</v>
      </c>
      <c r="M638" s="2">
        <v>1042634</v>
      </c>
      <c r="N638" s="2">
        <v>0</v>
      </c>
      <c r="O638" s="2">
        <v>453381</v>
      </c>
      <c r="P638" t="s">
        <v>24</v>
      </c>
      <c r="Q638" t="s">
        <v>24</v>
      </c>
    </row>
    <row r="639" spans="1:17" x14ac:dyDescent="0.25">
      <c r="A639" t="s">
        <v>5099</v>
      </c>
      <c r="B639" t="s">
        <v>5100</v>
      </c>
      <c r="C639" s="1">
        <v>41275</v>
      </c>
      <c r="D639" s="1">
        <v>41639</v>
      </c>
      <c r="E639" t="s">
        <v>5101</v>
      </c>
      <c r="G639" t="s">
        <v>41</v>
      </c>
      <c r="H639" t="s">
        <v>42</v>
      </c>
      <c r="I639" t="str">
        <f>"53217"</f>
        <v>53217</v>
      </c>
      <c r="J639" t="s">
        <v>22</v>
      </c>
      <c r="K639" t="s">
        <v>30</v>
      </c>
      <c r="L639" s="2">
        <v>10491779</v>
      </c>
      <c r="M639" s="2">
        <v>1981317</v>
      </c>
      <c r="N639" s="2">
        <v>0</v>
      </c>
      <c r="O639" s="2">
        <v>497024</v>
      </c>
      <c r="P639" t="s">
        <v>24</v>
      </c>
      <c r="Q639" t="s">
        <v>24</v>
      </c>
    </row>
    <row r="640" spans="1:17" x14ac:dyDescent="0.25">
      <c r="A640" t="s">
        <v>5602</v>
      </c>
      <c r="B640" t="s">
        <v>5603</v>
      </c>
      <c r="C640" s="1">
        <v>41275</v>
      </c>
      <c r="D640" s="1">
        <v>41639</v>
      </c>
      <c r="E640" t="s">
        <v>104</v>
      </c>
      <c r="G640" t="s">
        <v>28</v>
      </c>
      <c r="H640" t="s">
        <v>29</v>
      </c>
      <c r="I640" t="str">
        <f>"60680"</f>
        <v>60680</v>
      </c>
      <c r="J640" t="s">
        <v>22</v>
      </c>
      <c r="K640" t="s">
        <v>30</v>
      </c>
      <c r="L640" s="2">
        <v>10419619</v>
      </c>
      <c r="M640" s="2">
        <v>6367787</v>
      </c>
      <c r="N640" s="2">
        <v>2800</v>
      </c>
      <c r="O640" s="2">
        <v>414059</v>
      </c>
      <c r="P640" t="s">
        <v>24</v>
      </c>
      <c r="Q640" t="s">
        <v>24</v>
      </c>
    </row>
    <row r="641" spans="1:17" x14ac:dyDescent="0.25">
      <c r="A641" t="s">
        <v>4338</v>
      </c>
      <c r="B641" t="s">
        <v>4339</v>
      </c>
      <c r="C641" s="1">
        <v>41275</v>
      </c>
      <c r="D641" s="1">
        <v>41639</v>
      </c>
      <c r="E641" t="s">
        <v>4340</v>
      </c>
      <c r="G641" t="s">
        <v>353</v>
      </c>
      <c r="H641" t="s">
        <v>62</v>
      </c>
      <c r="I641" t="str">
        <f>"43215"</f>
        <v>43215</v>
      </c>
      <c r="J641" t="s">
        <v>22</v>
      </c>
      <c r="K641" t="s">
        <v>23</v>
      </c>
      <c r="L641" s="2">
        <v>10417537</v>
      </c>
      <c r="M641" s="2">
        <v>1306918</v>
      </c>
      <c r="N641" s="2">
        <v>0</v>
      </c>
      <c r="O641" s="2">
        <v>546072</v>
      </c>
      <c r="P641" t="s">
        <v>24</v>
      </c>
      <c r="Q641" t="s">
        <v>24</v>
      </c>
    </row>
    <row r="642" spans="1:17" x14ac:dyDescent="0.25">
      <c r="A642" t="s">
        <v>6054</v>
      </c>
      <c r="B642" t="s">
        <v>6055</v>
      </c>
      <c r="C642" s="1">
        <v>41275</v>
      </c>
      <c r="D642" s="1">
        <v>41639</v>
      </c>
      <c r="E642" t="s">
        <v>6056</v>
      </c>
      <c r="G642" t="s">
        <v>6057</v>
      </c>
      <c r="H642" t="s">
        <v>42</v>
      </c>
      <c r="I642" t="str">
        <f>"54220"</f>
        <v>54220</v>
      </c>
      <c r="J642" t="s">
        <v>63</v>
      </c>
      <c r="K642" t="s">
        <v>64</v>
      </c>
      <c r="L642" s="2">
        <v>10415224</v>
      </c>
      <c r="M642" s="2">
        <v>3968690</v>
      </c>
      <c r="N642" s="2">
        <v>939165</v>
      </c>
      <c r="O642" s="2">
        <v>395849</v>
      </c>
      <c r="P642" s="2">
        <v>133620</v>
      </c>
      <c r="Q642" s="2">
        <v>5677</v>
      </c>
    </row>
    <row r="643" spans="1:17" x14ac:dyDescent="0.25">
      <c r="A643" t="s">
        <v>4601</v>
      </c>
      <c r="B643" t="s">
        <v>4602</v>
      </c>
      <c r="C643" s="1">
        <v>41275</v>
      </c>
      <c r="D643" s="1">
        <v>41639</v>
      </c>
      <c r="E643" t="s">
        <v>4603</v>
      </c>
      <c r="G643" t="s">
        <v>4604</v>
      </c>
      <c r="H643" t="s">
        <v>42</v>
      </c>
      <c r="I643" t="str">
        <f>"54941"</f>
        <v>54941</v>
      </c>
      <c r="J643" t="s">
        <v>22</v>
      </c>
      <c r="K643" t="s">
        <v>30</v>
      </c>
      <c r="L643" s="2">
        <v>10412903</v>
      </c>
      <c r="M643" s="2">
        <v>3004820</v>
      </c>
      <c r="N643" s="2">
        <v>0</v>
      </c>
      <c r="O643" s="2">
        <v>520208</v>
      </c>
      <c r="P643" t="s">
        <v>24</v>
      </c>
      <c r="Q643" t="s">
        <v>24</v>
      </c>
    </row>
    <row r="644" spans="1:17" x14ac:dyDescent="0.25">
      <c r="A644" t="s">
        <v>7289</v>
      </c>
      <c r="B644" t="s">
        <v>7290</v>
      </c>
      <c r="C644" s="1">
        <v>41275</v>
      </c>
      <c r="D644" s="1">
        <v>41639</v>
      </c>
      <c r="E644" t="s">
        <v>7291</v>
      </c>
      <c r="G644" t="s">
        <v>7292</v>
      </c>
      <c r="H644" t="s">
        <v>62</v>
      </c>
      <c r="I644" t="str">
        <f>"44654"</f>
        <v>44654</v>
      </c>
      <c r="J644" t="s">
        <v>63</v>
      </c>
      <c r="K644" t="s">
        <v>6989</v>
      </c>
      <c r="L644" s="2">
        <v>10407710</v>
      </c>
      <c r="M644" s="2">
        <v>1135660</v>
      </c>
      <c r="N644" s="2">
        <v>8672</v>
      </c>
      <c r="O644" s="2">
        <v>584595</v>
      </c>
      <c r="P644" s="2">
        <v>149782</v>
      </c>
      <c r="Q644" s="2">
        <v>0</v>
      </c>
    </row>
    <row r="645" spans="1:17" x14ac:dyDescent="0.25">
      <c r="A645" t="s">
        <v>5309</v>
      </c>
      <c r="B645" t="s">
        <v>5310</v>
      </c>
      <c r="C645" s="1">
        <v>41275</v>
      </c>
      <c r="D645" s="1">
        <v>41639</v>
      </c>
      <c r="E645" t="s">
        <v>5311</v>
      </c>
      <c r="G645" t="s">
        <v>1200</v>
      </c>
      <c r="H645" t="s">
        <v>42</v>
      </c>
      <c r="I645" t="str">
        <f>"53408"</f>
        <v>53408</v>
      </c>
      <c r="J645" t="s">
        <v>22</v>
      </c>
      <c r="K645" t="s">
        <v>23</v>
      </c>
      <c r="L645" s="2">
        <v>10383818</v>
      </c>
      <c r="M645" s="2">
        <v>8013505</v>
      </c>
      <c r="N645" s="2">
        <v>0</v>
      </c>
      <c r="O645" s="2">
        <v>524750</v>
      </c>
      <c r="P645" t="s">
        <v>24</v>
      </c>
      <c r="Q645" t="s">
        <v>24</v>
      </c>
    </row>
    <row r="646" spans="1:17" x14ac:dyDescent="0.25">
      <c r="A646" t="s">
        <v>4265</v>
      </c>
      <c r="B646" t="s">
        <v>4266</v>
      </c>
      <c r="C646" s="1">
        <v>41275</v>
      </c>
      <c r="D646" s="1">
        <v>41639</v>
      </c>
      <c r="E646" t="s">
        <v>3433</v>
      </c>
      <c r="G646" t="s">
        <v>143</v>
      </c>
      <c r="H646" t="s">
        <v>47</v>
      </c>
      <c r="I646" t="str">
        <f>"48226"</f>
        <v>48226</v>
      </c>
      <c r="J646" t="s">
        <v>22</v>
      </c>
      <c r="K646" t="s">
        <v>30</v>
      </c>
      <c r="L646" s="2">
        <v>10327647</v>
      </c>
      <c r="M646" s="2">
        <v>6556804</v>
      </c>
      <c r="N646" s="2">
        <v>4954</v>
      </c>
      <c r="O646" s="2">
        <v>368657</v>
      </c>
      <c r="P646" t="s">
        <v>24</v>
      </c>
      <c r="Q646" t="s">
        <v>24</v>
      </c>
    </row>
    <row r="647" spans="1:17" x14ac:dyDescent="0.25">
      <c r="A647" t="s">
        <v>7253</v>
      </c>
      <c r="B647" t="s">
        <v>7254</v>
      </c>
      <c r="C647" s="1">
        <v>41275</v>
      </c>
      <c r="D647" s="1">
        <v>41639</v>
      </c>
      <c r="E647" t="s">
        <v>750</v>
      </c>
      <c r="G647" t="s">
        <v>751</v>
      </c>
      <c r="H647" t="s">
        <v>62</v>
      </c>
      <c r="I647" t="str">
        <f>"44144"</f>
        <v>44144</v>
      </c>
      <c r="J647" t="s">
        <v>22</v>
      </c>
      <c r="K647" t="s">
        <v>30</v>
      </c>
      <c r="L647" s="2">
        <v>10307783</v>
      </c>
      <c r="M647" s="2">
        <v>3330057</v>
      </c>
      <c r="N647" s="2">
        <v>0</v>
      </c>
      <c r="O647" s="2">
        <v>317011</v>
      </c>
      <c r="P647" t="s">
        <v>24</v>
      </c>
      <c r="Q647" t="s">
        <v>24</v>
      </c>
    </row>
    <row r="648" spans="1:17" x14ac:dyDescent="0.25">
      <c r="A648" t="s">
        <v>1440</v>
      </c>
      <c r="B648" t="s">
        <v>1441</v>
      </c>
      <c r="C648" s="1">
        <v>41214</v>
      </c>
      <c r="D648" s="1">
        <v>41578</v>
      </c>
      <c r="E648" t="s">
        <v>1442</v>
      </c>
      <c r="G648" t="s">
        <v>28</v>
      </c>
      <c r="H648" t="s">
        <v>29</v>
      </c>
      <c r="I648" t="str">
        <f>"60613"</f>
        <v>60613</v>
      </c>
      <c r="J648" t="s">
        <v>22</v>
      </c>
      <c r="K648" t="s">
        <v>30</v>
      </c>
      <c r="L648" s="2">
        <v>10294467</v>
      </c>
      <c r="M648" s="2">
        <v>4231005</v>
      </c>
      <c r="N648" s="2">
        <v>0</v>
      </c>
      <c r="O648" s="2">
        <v>701746</v>
      </c>
      <c r="P648" t="s">
        <v>24</v>
      </c>
      <c r="Q648" t="s">
        <v>24</v>
      </c>
    </row>
    <row r="649" spans="1:17" x14ac:dyDescent="0.25">
      <c r="A649" t="s">
        <v>7282</v>
      </c>
      <c r="B649" t="s">
        <v>7283</v>
      </c>
      <c r="C649" s="1">
        <v>41122</v>
      </c>
      <c r="D649" s="1">
        <v>41486</v>
      </c>
      <c r="E649" t="s">
        <v>7284</v>
      </c>
      <c r="G649" t="s">
        <v>7285</v>
      </c>
      <c r="H649" t="s">
        <v>42</v>
      </c>
      <c r="I649" t="str">
        <f>"53092"</f>
        <v>53092</v>
      </c>
      <c r="J649" t="s">
        <v>22</v>
      </c>
      <c r="K649" t="s">
        <v>23</v>
      </c>
      <c r="L649" s="2">
        <v>10291163</v>
      </c>
      <c r="M649" s="2">
        <v>6272879</v>
      </c>
      <c r="N649" s="2">
        <v>0</v>
      </c>
      <c r="O649" s="2">
        <v>749296</v>
      </c>
      <c r="P649" t="s">
        <v>24</v>
      </c>
      <c r="Q649" t="s">
        <v>24</v>
      </c>
    </row>
    <row r="650" spans="1:17" x14ac:dyDescent="0.25">
      <c r="A650" t="s">
        <v>5630</v>
      </c>
      <c r="B650" t="s">
        <v>5631</v>
      </c>
      <c r="C650" s="1">
        <v>41275</v>
      </c>
      <c r="D650" s="1">
        <v>41639</v>
      </c>
      <c r="E650" t="s">
        <v>5632</v>
      </c>
      <c r="G650" t="s">
        <v>5633</v>
      </c>
      <c r="H650" t="s">
        <v>62</v>
      </c>
      <c r="I650" t="str">
        <f>"43953"</f>
        <v>43953</v>
      </c>
      <c r="J650" t="s">
        <v>22</v>
      </c>
      <c r="K650" t="s">
        <v>30</v>
      </c>
      <c r="L650" s="2">
        <v>10265724</v>
      </c>
      <c r="M650" s="2">
        <v>1754116</v>
      </c>
      <c r="N650" s="2">
        <v>0</v>
      </c>
      <c r="O650" s="2">
        <v>404738</v>
      </c>
      <c r="P650" t="s">
        <v>24</v>
      </c>
      <c r="Q650" t="s">
        <v>24</v>
      </c>
    </row>
    <row r="651" spans="1:17" x14ac:dyDescent="0.25">
      <c r="A651" t="s">
        <v>5556</v>
      </c>
      <c r="B651" t="s">
        <v>5557</v>
      </c>
      <c r="C651" s="1">
        <v>41275</v>
      </c>
      <c r="D651" s="1">
        <v>41639</v>
      </c>
      <c r="E651" t="s">
        <v>5558</v>
      </c>
      <c r="G651" t="s">
        <v>5559</v>
      </c>
      <c r="H651" t="s">
        <v>42</v>
      </c>
      <c r="I651" t="str">
        <f>"53572"</f>
        <v>53572</v>
      </c>
      <c r="J651" t="s">
        <v>22</v>
      </c>
      <c r="K651" t="s">
        <v>23</v>
      </c>
      <c r="L651" s="2">
        <v>10262517</v>
      </c>
      <c r="M651" s="2">
        <v>1088171</v>
      </c>
      <c r="N651" s="2">
        <v>0</v>
      </c>
      <c r="O651" s="2">
        <v>691131</v>
      </c>
      <c r="P651" t="s">
        <v>24</v>
      </c>
      <c r="Q651" t="s">
        <v>24</v>
      </c>
    </row>
    <row r="652" spans="1:17" x14ac:dyDescent="0.25">
      <c r="A652" t="s">
        <v>6610</v>
      </c>
      <c r="B652" t="s">
        <v>6611</v>
      </c>
      <c r="C652" s="1">
        <v>41275</v>
      </c>
      <c r="D652" s="1">
        <v>41639</v>
      </c>
      <c r="E652" t="s">
        <v>6612</v>
      </c>
      <c r="G652" t="s">
        <v>5814</v>
      </c>
      <c r="H652" t="s">
        <v>47</v>
      </c>
      <c r="I652" t="str">
        <f>"48080"</f>
        <v>48080</v>
      </c>
      <c r="J652" t="s">
        <v>22</v>
      </c>
      <c r="K652" t="s">
        <v>23</v>
      </c>
      <c r="L652" s="2">
        <v>10252319</v>
      </c>
      <c r="M652" s="2">
        <v>7549466</v>
      </c>
      <c r="N652" s="2">
        <v>0</v>
      </c>
      <c r="O652" s="2">
        <v>488135</v>
      </c>
      <c r="P652" t="s">
        <v>24</v>
      </c>
      <c r="Q652" t="s">
        <v>24</v>
      </c>
    </row>
    <row r="653" spans="1:17" x14ac:dyDescent="0.25">
      <c r="A653" t="s">
        <v>1292</v>
      </c>
      <c r="B653" t="s">
        <v>1293</v>
      </c>
      <c r="C653" s="1">
        <v>40909</v>
      </c>
      <c r="D653" s="1">
        <v>41274</v>
      </c>
      <c r="E653" t="s">
        <v>1294</v>
      </c>
      <c r="G653" t="s">
        <v>20</v>
      </c>
      <c r="H653" t="s">
        <v>21</v>
      </c>
      <c r="I653" t="str">
        <f>"46206"</f>
        <v>46206</v>
      </c>
      <c r="J653" t="s">
        <v>22</v>
      </c>
      <c r="K653" t="s">
        <v>91</v>
      </c>
      <c r="L653" s="2">
        <v>10237026</v>
      </c>
      <c r="M653" s="2">
        <v>3876186</v>
      </c>
      <c r="N653" s="2">
        <v>264</v>
      </c>
      <c r="O653" s="2">
        <v>799127</v>
      </c>
      <c r="P653" t="s">
        <v>24</v>
      </c>
      <c r="Q653" t="s">
        <v>24</v>
      </c>
    </row>
    <row r="654" spans="1:17" x14ac:dyDescent="0.25">
      <c r="A654" t="s">
        <v>1088</v>
      </c>
      <c r="B654" t="s">
        <v>1089</v>
      </c>
      <c r="C654" s="1">
        <v>41275</v>
      </c>
      <c r="D654" s="1">
        <v>41639</v>
      </c>
      <c r="E654" t="s">
        <v>1090</v>
      </c>
      <c r="G654" t="s">
        <v>28</v>
      </c>
      <c r="H654" t="s">
        <v>29</v>
      </c>
      <c r="I654" t="str">
        <f>"60654"</f>
        <v>60654</v>
      </c>
      <c r="J654" t="s">
        <v>22</v>
      </c>
      <c r="K654" t="s">
        <v>30</v>
      </c>
      <c r="L654" s="2">
        <v>10215515</v>
      </c>
      <c r="M654" s="2">
        <v>2301312</v>
      </c>
      <c r="N654" s="2">
        <v>0</v>
      </c>
      <c r="O654" s="2">
        <v>2108516</v>
      </c>
      <c r="P654" t="s">
        <v>24</v>
      </c>
      <c r="Q654" t="s">
        <v>24</v>
      </c>
    </row>
    <row r="655" spans="1:17" x14ac:dyDescent="0.25">
      <c r="A655" t="s">
        <v>4331</v>
      </c>
      <c r="B655" t="s">
        <v>4332</v>
      </c>
      <c r="C655" s="1">
        <v>40909</v>
      </c>
      <c r="D655" s="1">
        <v>41274</v>
      </c>
      <c r="E655" t="s">
        <v>4333</v>
      </c>
      <c r="G655" t="s">
        <v>3972</v>
      </c>
      <c r="H655" t="s">
        <v>78</v>
      </c>
      <c r="I655" t="str">
        <f>"41101"</f>
        <v>41101</v>
      </c>
      <c r="J655" t="s">
        <v>22</v>
      </c>
      <c r="K655" t="s">
        <v>30</v>
      </c>
      <c r="L655" s="2">
        <v>10209240</v>
      </c>
      <c r="M655" s="2">
        <v>3367245</v>
      </c>
      <c r="N655" s="2">
        <v>0</v>
      </c>
      <c r="O655" s="2">
        <v>1212858</v>
      </c>
      <c r="P655" t="s">
        <v>24</v>
      </c>
      <c r="Q655" t="s">
        <v>24</v>
      </c>
    </row>
    <row r="656" spans="1:17" x14ac:dyDescent="0.25">
      <c r="A656" t="s">
        <v>4533</v>
      </c>
      <c r="B656" t="s">
        <v>4534</v>
      </c>
      <c r="C656" s="1">
        <v>41091</v>
      </c>
      <c r="D656" s="1">
        <v>41455</v>
      </c>
      <c r="E656" t="s">
        <v>4535</v>
      </c>
      <c r="G656" t="s">
        <v>4536</v>
      </c>
      <c r="H656" t="s">
        <v>42</v>
      </c>
      <c r="I656" t="str">
        <f>"54729"</f>
        <v>54729</v>
      </c>
      <c r="J656" t="s">
        <v>63</v>
      </c>
      <c r="K656" t="s">
        <v>64</v>
      </c>
      <c r="L656" s="2">
        <v>10208905</v>
      </c>
      <c r="M656" s="2">
        <v>763653</v>
      </c>
      <c r="N656" s="2">
        <v>4220250</v>
      </c>
      <c r="O656" s="2">
        <v>287826</v>
      </c>
      <c r="P656" s="2">
        <v>27383</v>
      </c>
      <c r="Q656" s="2">
        <v>11497</v>
      </c>
    </row>
    <row r="657" spans="1:17" x14ac:dyDescent="0.25">
      <c r="A657" t="s">
        <v>915</v>
      </c>
      <c r="B657" t="s">
        <v>916</v>
      </c>
      <c r="C657" s="1">
        <v>41275</v>
      </c>
      <c r="D657" s="1">
        <v>41639</v>
      </c>
      <c r="E657" t="s">
        <v>917</v>
      </c>
      <c r="G657" t="s">
        <v>918</v>
      </c>
      <c r="H657" t="s">
        <v>29</v>
      </c>
      <c r="I657" t="str">
        <f>"60554"</f>
        <v>60554</v>
      </c>
      <c r="J657" t="s">
        <v>22</v>
      </c>
      <c r="K657" t="s">
        <v>23</v>
      </c>
      <c r="L657" s="2">
        <v>10198121</v>
      </c>
      <c r="M657" s="2">
        <v>1096349</v>
      </c>
      <c r="N657" s="2">
        <v>0</v>
      </c>
      <c r="O657" s="2">
        <v>605931</v>
      </c>
      <c r="P657" t="s">
        <v>24</v>
      </c>
      <c r="Q657" t="s">
        <v>24</v>
      </c>
    </row>
    <row r="658" spans="1:17" x14ac:dyDescent="0.25">
      <c r="A658" t="s">
        <v>6117</v>
      </c>
      <c r="B658" t="s">
        <v>6118</v>
      </c>
      <c r="C658" s="1">
        <v>41275</v>
      </c>
      <c r="D658" s="1">
        <v>41639</v>
      </c>
      <c r="E658" t="s">
        <v>1496</v>
      </c>
      <c r="G658" t="s">
        <v>167</v>
      </c>
      <c r="H658" t="s">
        <v>62</v>
      </c>
      <c r="I658" t="str">
        <f>"45263"</f>
        <v>45263</v>
      </c>
      <c r="J658" t="s">
        <v>22</v>
      </c>
      <c r="K658" t="s">
        <v>23</v>
      </c>
      <c r="L658" s="2">
        <v>10165623</v>
      </c>
      <c r="M658" s="2">
        <v>2255001</v>
      </c>
      <c r="N658" s="2">
        <v>0</v>
      </c>
      <c r="O658" s="2">
        <v>585479</v>
      </c>
      <c r="P658" t="s">
        <v>24</v>
      </c>
      <c r="Q658" t="s">
        <v>24</v>
      </c>
    </row>
    <row r="659" spans="1:17" x14ac:dyDescent="0.25">
      <c r="A659" t="s">
        <v>2145</v>
      </c>
      <c r="B659" t="s">
        <v>2146</v>
      </c>
      <c r="C659" s="1">
        <v>41275</v>
      </c>
      <c r="D659" s="1">
        <v>41639</v>
      </c>
      <c r="E659" t="s">
        <v>2147</v>
      </c>
      <c r="G659" t="s">
        <v>1339</v>
      </c>
      <c r="H659" t="s">
        <v>47</v>
      </c>
      <c r="I659" t="str">
        <f>"48084"</f>
        <v>48084</v>
      </c>
      <c r="J659" t="s">
        <v>22</v>
      </c>
      <c r="K659" t="s">
        <v>30</v>
      </c>
      <c r="L659" s="2">
        <v>10119798</v>
      </c>
      <c r="M659" s="2">
        <v>6795274</v>
      </c>
      <c r="N659" s="2">
        <v>10929</v>
      </c>
      <c r="O659" s="2">
        <v>3044839</v>
      </c>
      <c r="P659" t="s">
        <v>24</v>
      </c>
      <c r="Q659" t="s">
        <v>24</v>
      </c>
    </row>
    <row r="660" spans="1:17" x14ac:dyDescent="0.25">
      <c r="A660" t="s">
        <v>3319</v>
      </c>
      <c r="B660" t="s">
        <v>3320</v>
      </c>
      <c r="C660" s="1">
        <v>41275</v>
      </c>
      <c r="D660" s="1">
        <v>41639</v>
      </c>
      <c r="E660" t="s">
        <v>3321</v>
      </c>
      <c r="G660" t="s">
        <v>353</v>
      </c>
      <c r="H660" t="s">
        <v>62</v>
      </c>
      <c r="I660" t="str">
        <f>"43216"</f>
        <v>43216</v>
      </c>
      <c r="J660" t="s">
        <v>22</v>
      </c>
      <c r="K660" t="s">
        <v>30</v>
      </c>
      <c r="L660" s="2">
        <v>10119320</v>
      </c>
      <c r="M660" s="2">
        <v>1239750</v>
      </c>
      <c r="N660" s="2">
        <v>5</v>
      </c>
      <c r="O660" s="2">
        <v>508193</v>
      </c>
      <c r="P660" t="s">
        <v>24</v>
      </c>
      <c r="Q660" t="s">
        <v>24</v>
      </c>
    </row>
    <row r="661" spans="1:17" x14ac:dyDescent="0.25">
      <c r="A661" t="s">
        <v>6757</v>
      </c>
      <c r="B661" t="s">
        <v>6758</v>
      </c>
      <c r="C661" s="1">
        <v>40909</v>
      </c>
      <c r="D661" s="1">
        <v>41274</v>
      </c>
      <c r="E661" t="s">
        <v>6759</v>
      </c>
      <c r="G661" t="s">
        <v>6760</v>
      </c>
      <c r="H661" t="s">
        <v>62</v>
      </c>
      <c r="I661" t="str">
        <f>"44060"</f>
        <v>44060</v>
      </c>
      <c r="J661" t="s">
        <v>22</v>
      </c>
      <c r="K661" t="s">
        <v>23</v>
      </c>
      <c r="L661" s="2">
        <v>10109389</v>
      </c>
      <c r="M661" s="2">
        <v>3474313</v>
      </c>
      <c r="N661" s="2">
        <v>0</v>
      </c>
      <c r="O661" s="2">
        <v>545278</v>
      </c>
      <c r="P661" t="s">
        <v>24</v>
      </c>
      <c r="Q661" t="s">
        <v>24</v>
      </c>
    </row>
    <row r="662" spans="1:17" x14ac:dyDescent="0.25">
      <c r="A662" t="s">
        <v>5471</v>
      </c>
      <c r="B662" t="s">
        <v>5472</v>
      </c>
      <c r="C662" s="1">
        <v>41275</v>
      </c>
      <c r="D662" s="1">
        <v>41639</v>
      </c>
      <c r="E662" t="s">
        <v>5473</v>
      </c>
      <c r="G662" t="s">
        <v>5064</v>
      </c>
      <c r="H662" t="s">
        <v>29</v>
      </c>
      <c r="I662" t="str">
        <f>"60525"</f>
        <v>60525</v>
      </c>
      <c r="J662" t="s">
        <v>22</v>
      </c>
      <c r="K662" t="s">
        <v>23</v>
      </c>
      <c r="L662" s="2">
        <v>10101019</v>
      </c>
      <c r="M662" s="2">
        <v>3870449</v>
      </c>
      <c r="N662" s="2">
        <v>750</v>
      </c>
      <c r="O662" s="2">
        <v>717183</v>
      </c>
      <c r="P662" t="s">
        <v>24</v>
      </c>
      <c r="Q662" t="s">
        <v>24</v>
      </c>
    </row>
    <row r="663" spans="1:17" x14ac:dyDescent="0.25">
      <c r="A663" t="s">
        <v>6494</v>
      </c>
      <c r="B663" t="s">
        <v>6495</v>
      </c>
      <c r="C663" s="1">
        <v>41444</v>
      </c>
      <c r="D663" s="1">
        <v>41639</v>
      </c>
      <c r="E663" t="s">
        <v>6496</v>
      </c>
      <c r="G663" t="s">
        <v>20</v>
      </c>
      <c r="H663" t="s">
        <v>21</v>
      </c>
      <c r="I663" t="str">
        <f>"46220"</f>
        <v>46220</v>
      </c>
      <c r="J663" t="s">
        <v>22</v>
      </c>
      <c r="K663" t="s">
        <v>30</v>
      </c>
      <c r="L663" s="2">
        <v>10099331</v>
      </c>
      <c r="M663" s="2">
        <v>1549284</v>
      </c>
      <c r="N663" s="2">
        <v>0</v>
      </c>
      <c r="O663" s="2">
        <v>556818</v>
      </c>
      <c r="P663" t="s">
        <v>24</v>
      </c>
      <c r="Q663" t="s">
        <v>24</v>
      </c>
    </row>
    <row r="664" spans="1:17" x14ac:dyDescent="0.25">
      <c r="A664" t="s">
        <v>6635</v>
      </c>
      <c r="B664" t="s">
        <v>6636</v>
      </c>
      <c r="C664" s="1">
        <v>41275</v>
      </c>
      <c r="D664" s="1">
        <v>41639</v>
      </c>
      <c r="E664" t="s">
        <v>6637</v>
      </c>
      <c r="G664" t="s">
        <v>215</v>
      </c>
      <c r="H664" t="s">
        <v>42</v>
      </c>
      <c r="I664" t="str">
        <f>"53511"</f>
        <v>53511</v>
      </c>
      <c r="J664" t="s">
        <v>63</v>
      </c>
      <c r="K664" t="s">
        <v>64</v>
      </c>
      <c r="L664" s="2">
        <v>10083962</v>
      </c>
      <c r="M664" s="2">
        <v>1003096</v>
      </c>
      <c r="N664" s="2">
        <v>1349908</v>
      </c>
      <c r="O664" s="2">
        <v>691604</v>
      </c>
      <c r="P664" s="2">
        <v>167112</v>
      </c>
      <c r="Q664" s="2">
        <v>28770</v>
      </c>
    </row>
    <row r="665" spans="1:17" x14ac:dyDescent="0.25">
      <c r="A665" t="s">
        <v>3111</v>
      </c>
      <c r="B665" t="s">
        <v>3112</v>
      </c>
      <c r="C665" s="1">
        <v>41275</v>
      </c>
      <c r="D665" s="1">
        <v>41639</v>
      </c>
      <c r="E665" t="s">
        <v>489</v>
      </c>
      <c r="G665" t="s">
        <v>337</v>
      </c>
      <c r="H665" t="s">
        <v>62</v>
      </c>
      <c r="I665" t="str">
        <f>"44101"</f>
        <v>44101</v>
      </c>
      <c r="J665" t="s">
        <v>22</v>
      </c>
      <c r="K665" t="s">
        <v>23</v>
      </c>
      <c r="L665" s="2">
        <v>10082130</v>
      </c>
      <c r="M665" s="2">
        <v>3296301</v>
      </c>
      <c r="N665" s="2">
        <v>0</v>
      </c>
      <c r="O665" s="2">
        <v>490585</v>
      </c>
      <c r="P665" t="s">
        <v>24</v>
      </c>
      <c r="Q665" t="s">
        <v>24</v>
      </c>
    </row>
    <row r="666" spans="1:17" x14ac:dyDescent="0.25">
      <c r="A666" t="s">
        <v>1112</v>
      </c>
      <c r="B666" t="s">
        <v>1113</v>
      </c>
      <c r="C666" s="1">
        <v>41275</v>
      </c>
      <c r="D666" s="1">
        <v>41639</v>
      </c>
      <c r="E666" t="s">
        <v>1114</v>
      </c>
      <c r="G666" t="s">
        <v>167</v>
      </c>
      <c r="H666" t="s">
        <v>62</v>
      </c>
      <c r="I666" t="str">
        <f>"45208"</f>
        <v>45208</v>
      </c>
      <c r="J666" t="s">
        <v>22</v>
      </c>
      <c r="K666" t="s">
        <v>23</v>
      </c>
      <c r="L666" s="2">
        <v>10015396</v>
      </c>
      <c r="M666" s="2">
        <v>2284748</v>
      </c>
      <c r="N666" s="2">
        <v>0</v>
      </c>
      <c r="O666" s="2">
        <v>518288</v>
      </c>
      <c r="P666" t="s">
        <v>24</v>
      </c>
      <c r="Q666" t="s">
        <v>24</v>
      </c>
    </row>
    <row r="667" spans="1:17" x14ac:dyDescent="0.25">
      <c r="A667" t="s">
        <v>7354</v>
      </c>
      <c r="B667" t="s">
        <v>7355</v>
      </c>
      <c r="C667" s="1">
        <v>41275</v>
      </c>
      <c r="D667" s="1">
        <v>41639</v>
      </c>
      <c r="E667" t="s">
        <v>7356</v>
      </c>
      <c r="G667" t="s">
        <v>108</v>
      </c>
      <c r="H667" t="s">
        <v>29</v>
      </c>
      <c r="I667" t="str">
        <f>"60018"</f>
        <v>60018</v>
      </c>
      <c r="J667" t="s">
        <v>22</v>
      </c>
      <c r="K667" t="s">
        <v>23</v>
      </c>
      <c r="L667" s="2">
        <v>9993033</v>
      </c>
      <c r="M667" s="2">
        <v>3367380</v>
      </c>
      <c r="N667" s="2">
        <v>0</v>
      </c>
      <c r="O667" s="2">
        <v>902750</v>
      </c>
      <c r="P667" t="s">
        <v>24</v>
      </c>
      <c r="Q667" t="s">
        <v>24</v>
      </c>
    </row>
    <row r="668" spans="1:17" x14ac:dyDescent="0.25">
      <c r="A668" t="s">
        <v>6993</v>
      </c>
      <c r="B668" t="s">
        <v>6994</v>
      </c>
      <c r="C668" s="1">
        <v>41275</v>
      </c>
      <c r="D668" s="1">
        <v>41639</v>
      </c>
      <c r="E668" t="s">
        <v>6995</v>
      </c>
      <c r="G668" t="s">
        <v>1818</v>
      </c>
      <c r="H668" t="s">
        <v>62</v>
      </c>
      <c r="I668" t="str">
        <f>"44236"</f>
        <v>44236</v>
      </c>
      <c r="J668" t="s">
        <v>63</v>
      </c>
      <c r="K668" t="s">
        <v>64</v>
      </c>
      <c r="L668" s="2">
        <v>9968491</v>
      </c>
      <c r="M668" s="2">
        <v>1473790</v>
      </c>
      <c r="N668" s="2">
        <v>58076</v>
      </c>
      <c r="O668" s="2">
        <v>1111529</v>
      </c>
      <c r="P668" s="2">
        <v>67729</v>
      </c>
      <c r="Q668" s="2">
        <v>54372</v>
      </c>
    </row>
    <row r="669" spans="1:17" x14ac:dyDescent="0.25">
      <c r="A669" t="s">
        <v>6491</v>
      </c>
      <c r="B669" t="s">
        <v>6492</v>
      </c>
      <c r="E669" t="s">
        <v>6493</v>
      </c>
      <c r="G669" t="s">
        <v>28</v>
      </c>
      <c r="H669" t="s">
        <v>29</v>
      </c>
      <c r="I669" t="str">
        <f>"60614"</f>
        <v>60614</v>
      </c>
      <c r="J669" t="s">
        <v>22</v>
      </c>
      <c r="K669" t="s">
        <v>23</v>
      </c>
      <c r="L669" s="2">
        <v>9953719</v>
      </c>
      <c r="M669" s="2">
        <v>2326901</v>
      </c>
      <c r="N669" s="2">
        <v>0</v>
      </c>
      <c r="O669" t="s">
        <v>24</v>
      </c>
      <c r="P669" t="s">
        <v>24</v>
      </c>
      <c r="Q669" t="s">
        <v>24</v>
      </c>
    </row>
    <row r="670" spans="1:17" x14ac:dyDescent="0.25">
      <c r="A670" t="s">
        <v>58</v>
      </c>
      <c r="B670" t="s">
        <v>59</v>
      </c>
      <c r="C670" s="1">
        <v>41275</v>
      </c>
      <c r="D670" s="1">
        <v>41639</v>
      </c>
      <c r="E670" t="s">
        <v>60</v>
      </c>
      <c r="G670" t="s">
        <v>61</v>
      </c>
      <c r="H670" t="s">
        <v>62</v>
      </c>
      <c r="I670" t="str">
        <f>"45385"</f>
        <v>45385</v>
      </c>
      <c r="J670" t="s">
        <v>63</v>
      </c>
      <c r="K670" t="s">
        <v>64</v>
      </c>
      <c r="L670" s="2">
        <v>9924651</v>
      </c>
      <c r="M670" s="2">
        <v>2513260</v>
      </c>
      <c r="N670" s="2">
        <v>62192</v>
      </c>
      <c r="O670" s="2">
        <v>1722346</v>
      </c>
      <c r="P670" s="2">
        <v>15724</v>
      </c>
      <c r="Q670" s="2">
        <v>15722</v>
      </c>
    </row>
    <row r="671" spans="1:17" x14ac:dyDescent="0.25">
      <c r="A671" t="s">
        <v>6211</v>
      </c>
      <c r="B671" t="s">
        <v>6212</v>
      </c>
      <c r="C671" s="1">
        <v>41275</v>
      </c>
      <c r="D671" s="1">
        <v>41639</v>
      </c>
      <c r="E671" t="s">
        <v>104</v>
      </c>
      <c r="G671" t="s">
        <v>28</v>
      </c>
      <c r="H671" t="s">
        <v>29</v>
      </c>
      <c r="I671" t="str">
        <f>"60680"</f>
        <v>60680</v>
      </c>
      <c r="J671" t="s">
        <v>22</v>
      </c>
      <c r="K671" t="s">
        <v>23</v>
      </c>
      <c r="L671" s="2">
        <v>9911867</v>
      </c>
      <c r="M671" s="2">
        <v>8618356</v>
      </c>
      <c r="N671" s="2">
        <v>0</v>
      </c>
      <c r="O671" s="2">
        <v>220786</v>
      </c>
      <c r="P671" t="s">
        <v>24</v>
      </c>
      <c r="Q671" t="s">
        <v>24</v>
      </c>
    </row>
    <row r="672" spans="1:17" x14ac:dyDescent="0.25">
      <c r="A672" t="s">
        <v>4372</v>
      </c>
      <c r="B672" t="s">
        <v>4373</v>
      </c>
      <c r="C672" s="1">
        <v>41183</v>
      </c>
      <c r="D672" s="1">
        <v>41547</v>
      </c>
      <c r="E672" t="s">
        <v>4374</v>
      </c>
      <c r="G672" t="s">
        <v>167</v>
      </c>
      <c r="H672" t="s">
        <v>62</v>
      </c>
      <c r="I672" t="str">
        <f>"45250"</f>
        <v>45250</v>
      </c>
      <c r="J672" t="s">
        <v>22</v>
      </c>
      <c r="K672" t="s">
        <v>30</v>
      </c>
      <c r="L672" s="2">
        <v>9883993</v>
      </c>
      <c r="M672" s="2">
        <v>2180193</v>
      </c>
      <c r="N672" s="2">
        <v>2325</v>
      </c>
      <c r="O672" s="2">
        <v>441587</v>
      </c>
      <c r="P672" t="s">
        <v>24</v>
      </c>
      <c r="Q672" t="s">
        <v>24</v>
      </c>
    </row>
    <row r="673" spans="1:17" x14ac:dyDescent="0.25">
      <c r="A673" t="s">
        <v>7538</v>
      </c>
      <c r="B673" t="s">
        <v>7539</v>
      </c>
      <c r="C673" s="1">
        <v>41275</v>
      </c>
      <c r="D673" s="1">
        <v>41639</v>
      </c>
      <c r="E673" t="s">
        <v>7540</v>
      </c>
      <c r="G673" t="s">
        <v>980</v>
      </c>
      <c r="H673" t="s">
        <v>21</v>
      </c>
      <c r="I673" t="str">
        <f>"47006"</f>
        <v>47006</v>
      </c>
      <c r="J673" t="s">
        <v>63</v>
      </c>
      <c r="K673" t="s">
        <v>64</v>
      </c>
      <c r="L673" s="2">
        <v>9883875</v>
      </c>
      <c r="M673" s="2">
        <v>1284072</v>
      </c>
      <c r="N673" s="2">
        <v>954882</v>
      </c>
      <c r="O673" s="2">
        <v>1036378</v>
      </c>
      <c r="P673" s="2">
        <v>95461</v>
      </c>
      <c r="Q673" s="2">
        <v>86288</v>
      </c>
    </row>
    <row r="674" spans="1:17" x14ac:dyDescent="0.25">
      <c r="A674" t="s">
        <v>598</v>
      </c>
      <c r="B674" t="s">
        <v>599</v>
      </c>
      <c r="C674" s="1">
        <v>41275</v>
      </c>
      <c r="D674" s="1">
        <v>41639</v>
      </c>
      <c r="E674" t="s">
        <v>600</v>
      </c>
      <c r="G674" t="s">
        <v>86</v>
      </c>
      <c r="H674" t="s">
        <v>42</v>
      </c>
      <c r="I674" t="str">
        <f>"53717"</f>
        <v>53717</v>
      </c>
      <c r="J674" t="s">
        <v>22</v>
      </c>
      <c r="K674" t="s">
        <v>30</v>
      </c>
      <c r="L674" s="2">
        <v>9863949</v>
      </c>
      <c r="M674" s="2">
        <v>1596534</v>
      </c>
      <c r="N674" s="2">
        <v>0</v>
      </c>
      <c r="O674" s="2">
        <v>358374</v>
      </c>
      <c r="P674" t="s">
        <v>24</v>
      </c>
      <c r="Q674" t="s">
        <v>24</v>
      </c>
    </row>
    <row r="675" spans="1:17" x14ac:dyDescent="0.25">
      <c r="A675" t="s">
        <v>223</v>
      </c>
      <c r="B675" t="s">
        <v>224</v>
      </c>
      <c r="C675" s="1">
        <v>41275</v>
      </c>
      <c r="D675" s="1">
        <v>41639</v>
      </c>
      <c r="E675" t="s">
        <v>225</v>
      </c>
      <c r="G675" t="s">
        <v>28</v>
      </c>
      <c r="H675" t="s">
        <v>29</v>
      </c>
      <c r="I675" t="str">
        <f>"60611"</f>
        <v>60611</v>
      </c>
      <c r="J675" t="s">
        <v>22</v>
      </c>
      <c r="K675" t="s">
        <v>30</v>
      </c>
      <c r="L675" s="2">
        <v>9860454</v>
      </c>
      <c r="M675" s="2">
        <v>2551879</v>
      </c>
      <c r="N675" s="2">
        <v>0</v>
      </c>
      <c r="O675" s="2">
        <v>409466</v>
      </c>
      <c r="P675" t="s">
        <v>24</v>
      </c>
      <c r="Q675" t="s">
        <v>24</v>
      </c>
    </row>
    <row r="676" spans="1:17" x14ac:dyDescent="0.25">
      <c r="A676" t="s">
        <v>6799</v>
      </c>
      <c r="B676" t="s">
        <v>6800</v>
      </c>
      <c r="C676" s="1">
        <v>41183</v>
      </c>
      <c r="D676" s="1">
        <v>41547</v>
      </c>
      <c r="E676" t="s">
        <v>104</v>
      </c>
      <c r="G676" t="s">
        <v>28</v>
      </c>
      <c r="H676" t="s">
        <v>29</v>
      </c>
      <c r="I676" t="str">
        <f>"60680"</f>
        <v>60680</v>
      </c>
      <c r="J676" t="s">
        <v>22</v>
      </c>
      <c r="K676" t="s">
        <v>30</v>
      </c>
      <c r="L676" s="2">
        <v>9853015</v>
      </c>
      <c r="M676" s="2">
        <v>2536498</v>
      </c>
      <c r="N676" s="2">
        <v>0</v>
      </c>
      <c r="O676" s="2">
        <v>625189</v>
      </c>
      <c r="P676" t="s">
        <v>24</v>
      </c>
      <c r="Q676" t="s">
        <v>24</v>
      </c>
    </row>
    <row r="677" spans="1:17" x14ac:dyDescent="0.25">
      <c r="A677" t="s">
        <v>5607</v>
      </c>
      <c r="B677" t="s">
        <v>5608</v>
      </c>
      <c r="C677" s="1">
        <v>41275</v>
      </c>
      <c r="D677" s="1">
        <v>41639</v>
      </c>
      <c r="E677" t="s">
        <v>5609</v>
      </c>
      <c r="G677" t="s">
        <v>1648</v>
      </c>
      <c r="H677" t="s">
        <v>29</v>
      </c>
      <c r="I677" t="str">
        <f>"61824"</f>
        <v>61824</v>
      </c>
      <c r="J677" t="s">
        <v>22</v>
      </c>
      <c r="K677" t="s">
        <v>30</v>
      </c>
      <c r="L677" s="2">
        <v>9810457</v>
      </c>
      <c r="M677" s="2">
        <v>2287565</v>
      </c>
      <c r="N677" s="2">
        <v>0</v>
      </c>
      <c r="O677" s="2">
        <v>529111</v>
      </c>
      <c r="P677" t="s">
        <v>24</v>
      </c>
      <c r="Q677" t="s">
        <v>24</v>
      </c>
    </row>
    <row r="678" spans="1:17" x14ac:dyDescent="0.25">
      <c r="A678" t="s">
        <v>3044</v>
      </c>
      <c r="B678" t="s">
        <v>3045</v>
      </c>
      <c r="C678" s="1">
        <v>41275</v>
      </c>
      <c r="D678" s="1">
        <v>41639</v>
      </c>
      <c r="E678" t="s">
        <v>3046</v>
      </c>
      <c r="G678" t="s">
        <v>3047</v>
      </c>
      <c r="H678" t="s">
        <v>47</v>
      </c>
      <c r="I678" t="str">
        <f>"48723"</f>
        <v>48723</v>
      </c>
      <c r="J678" t="s">
        <v>63</v>
      </c>
      <c r="K678" t="s">
        <v>64</v>
      </c>
      <c r="L678" s="2">
        <v>9784651</v>
      </c>
      <c r="M678" s="2">
        <v>1837822</v>
      </c>
      <c r="N678" s="2">
        <v>127938</v>
      </c>
      <c r="O678" s="2">
        <v>605992</v>
      </c>
      <c r="P678" s="2">
        <v>179951</v>
      </c>
      <c r="Q678" s="2">
        <v>5218</v>
      </c>
    </row>
    <row r="679" spans="1:17" x14ac:dyDescent="0.25">
      <c r="A679" t="s">
        <v>6027</v>
      </c>
      <c r="B679" t="s">
        <v>6028</v>
      </c>
      <c r="C679" s="1">
        <v>41275</v>
      </c>
      <c r="D679" s="1">
        <v>41639</v>
      </c>
      <c r="E679" t="s">
        <v>6029</v>
      </c>
      <c r="G679" t="s">
        <v>86</v>
      </c>
      <c r="H679" t="s">
        <v>42</v>
      </c>
      <c r="I679" t="str">
        <f>"53701"</f>
        <v>53701</v>
      </c>
      <c r="J679" t="s">
        <v>63</v>
      </c>
      <c r="K679" t="s">
        <v>6030</v>
      </c>
      <c r="L679" s="2">
        <v>9784398</v>
      </c>
      <c r="M679" s="2">
        <v>1270636</v>
      </c>
      <c r="N679" s="2">
        <v>6237356</v>
      </c>
      <c r="O679" s="2">
        <v>939491</v>
      </c>
      <c r="P679" s="2">
        <v>212614</v>
      </c>
      <c r="Q679" s="2">
        <v>148696</v>
      </c>
    </row>
    <row r="680" spans="1:17" x14ac:dyDescent="0.25">
      <c r="A680" t="s">
        <v>6393</v>
      </c>
      <c r="B680" t="s">
        <v>6394</v>
      </c>
      <c r="C680" s="1">
        <v>41275</v>
      </c>
      <c r="D680" s="1">
        <v>41639</v>
      </c>
      <c r="E680" t="s">
        <v>3338</v>
      </c>
      <c r="G680" t="s">
        <v>28</v>
      </c>
      <c r="H680" t="s">
        <v>29</v>
      </c>
      <c r="I680" t="str">
        <f>"60603"</f>
        <v>60603</v>
      </c>
      <c r="J680" t="s">
        <v>22</v>
      </c>
      <c r="K680" t="s">
        <v>23</v>
      </c>
      <c r="L680" s="2">
        <v>9773179</v>
      </c>
      <c r="M680" s="2">
        <v>2240975</v>
      </c>
      <c r="N680" s="2">
        <v>0</v>
      </c>
      <c r="O680" s="2">
        <v>367657</v>
      </c>
      <c r="P680" t="s">
        <v>24</v>
      </c>
      <c r="Q680" t="s">
        <v>24</v>
      </c>
    </row>
    <row r="681" spans="1:17" x14ac:dyDescent="0.25">
      <c r="A681" t="s">
        <v>1940</v>
      </c>
      <c r="B681" t="s">
        <v>1941</v>
      </c>
      <c r="C681" s="1">
        <v>41426</v>
      </c>
      <c r="D681" s="1">
        <v>41790</v>
      </c>
      <c r="E681" t="s">
        <v>1942</v>
      </c>
      <c r="G681" t="s">
        <v>41</v>
      </c>
      <c r="H681" t="s">
        <v>42</v>
      </c>
      <c r="I681" t="str">
        <f>"53201"</f>
        <v>53201</v>
      </c>
      <c r="J681" t="s">
        <v>22</v>
      </c>
      <c r="K681" t="s">
        <v>23</v>
      </c>
      <c r="L681" s="2">
        <v>9772326</v>
      </c>
      <c r="M681" s="2">
        <v>9334629</v>
      </c>
      <c r="N681" s="2">
        <v>0</v>
      </c>
      <c r="O681" s="2">
        <v>523625</v>
      </c>
      <c r="P681" t="s">
        <v>24</v>
      </c>
      <c r="Q681" t="s">
        <v>24</v>
      </c>
    </row>
    <row r="682" spans="1:17" x14ac:dyDescent="0.25">
      <c r="A682" t="s">
        <v>6767</v>
      </c>
      <c r="B682" t="s">
        <v>6768</v>
      </c>
      <c r="C682" s="1">
        <v>40909</v>
      </c>
      <c r="D682" s="1">
        <v>41274</v>
      </c>
      <c r="E682" t="s">
        <v>6769</v>
      </c>
      <c r="G682" t="s">
        <v>3080</v>
      </c>
      <c r="H682" t="s">
        <v>62</v>
      </c>
      <c r="I682" t="str">
        <f>"44122"</f>
        <v>44122</v>
      </c>
      <c r="J682" t="s">
        <v>22</v>
      </c>
      <c r="K682" t="s">
        <v>23</v>
      </c>
      <c r="L682" s="2">
        <v>9752951</v>
      </c>
      <c r="M682" s="2">
        <v>1995880</v>
      </c>
      <c r="N682" s="2">
        <v>0</v>
      </c>
      <c r="O682" s="2">
        <v>461600</v>
      </c>
      <c r="P682" t="s">
        <v>24</v>
      </c>
      <c r="Q682" t="s">
        <v>24</v>
      </c>
    </row>
    <row r="683" spans="1:17" x14ac:dyDescent="0.25">
      <c r="A683" t="s">
        <v>6484</v>
      </c>
      <c r="B683" t="s">
        <v>6485</v>
      </c>
      <c r="C683" s="1">
        <v>41232</v>
      </c>
      <c r="D683" s="1">
        <v>41274</v>
      </c>
      <c r="E683" t="s">
        <v>6486</v>
      </c>
      <c r="G683" t="s">
        <v>6487</v>
      </c>
      <c r="H683" t="s">
        <v>29</v>
      </c>
      <c r="I683" t="str">
        <f>"60060"</f>
        <v>60060</v>
      </c>
      <c r="J683" t="s">
        <v>22</v>
      </c>
      <c r="K683" t="s">
        <v>23</v>
      </c>
      <c r="L683" s="2">
        <v>9727031</v>
      </c>
      <c r="M683" s="2">
        <v>3739652</v>
      </c>
      <c r="N683" s="2">
        <v>0</v>
      </c>
      <c r="O683" s="2">
        <v>1115461</v>
      </c>
      <c r="P683" t="s">
        <v>24</v>
      </c>
      <c r="Q683" t="s">
        <v>24</v>
      </c>
    </row>
    <row r="684" spans="1:17" x14ac:dyDescent="0.25">
      <c r="A684" t="s">
        <v>2782</v>
      </c>
      <c r="B684" t="s">
        <v>2783</v>
      </c>
      <c r="C684" s="1">
        <v>41365</v>
      </c>
      <c r="D684" s="1">
        <v>41729</v>
      </c>
      <c r="E684" t="s">
        <v>2784</v>
      </c>
      <c r="G684" t="s">
        <v>2785</v>
      </c>
      <c r="H684" t="s">
        <v>29</v>
      </c>
      <c r="I684" t="str">
        <f>"62794"</f>
        <v>62794</v>
      </c>
      <c r="J684" t="s">
        <v>22</v>
      </c>
      <c r="K684" t="s">
        <v>30</v>
      </c>
      <c r="L684" s="2">
        <v>9720249</v>
      </c>
      <c r="M684" s="2">
        <v>4641492</v>
      </c>
      <c r="N684" s="2">
        <v>0</v>
      </c>
      <c r="O684" s="2">
        <v>731429</v>
      </c>
      <c r="P684" t="s">
        <v>24</v>
      </c>
      <c r="Q684" t="s">
        <v>24</v>
      </c>
    </row>
    <row r="685" spans="1:17" x14ac:dyDescent="0.25">
      <c r="A685" t="s">
        <v>5394</v>
      </c>
      <c r="B685" t="s">
        <v>5395</v>
      </c>
      <c r="C685" s="1">
        <v>41275</v>
      </c>
      <c r="D685" s="1">
        <v>41639</v>
      </c>
      <c r="E685" t="s">
        <v>5396</v>
      </c>
      <c r="F685" t="s">
        <v>5397</v>
      </c>
      <c r="G685" t="s">
        <v>3149</v>
      </c>
      <c r="H685" t="s">
        <v>21</v>
      </c>
      <c r="I685" t="str">
        <f>"46123"</f>
        <v>46123</v>
      </c>
      <c r="J685" t="s">
        <v>63</v>
      </c>
      <c r="K685" t="s">
        <v>64</v>
      </c>
      <c r="L685" s="2">
        <v>9708075</v>
      </c>
      <c r="M685" s="2">
        <v>2181367</v>
      </c>
      <c r="N685" s="2">
        <v>663020</v>
      </c>
      <c r="O685" s="2">
        <v>1428857</v>
      </c>
      <c r="P685" s="2">
        <v>325611</v>
      </c>
      <c r="Q685" s="2">
        <v>73944</v>
      </c>
    </row>
    <row r="686" spans="1:17" x14ac:dyDescent="0.25">
      <c r="A686" t="s">
        <v>6377</v>
      </c>
      <c r="B686" t="s">
        <v>6378</v>
      </c>
      <c r="C686" s="1">
        <v>41275</v>
      </c>
      <c r="D686" s="1">
        <v>41639</v>
      </c>
      <c r="E686" t="s">
        <v>6379</v>
      </c>
      <c r="G686" t="s">
        <v>86</v>
      </c>
      <c r="H686" t="s">
        <v>42</v>
      </c>
      <c r="I686" t="str">
        <f>"53704"</f>
        <v>53704</v>
      </c>
      <c r="J686" t="s">
        <v>22</v>
      </c>
      <c r="K686" t="s">
        <v>23</v>
      </c>
      <c r="L686" s="2">
        <v>9690057</v>
      </c>
      <c r="M686" s="2">
        <v>1282816</v>
      </c>
      <c r="N686" s="2">
        <v>0</v>
      </c>
      <c r="O686" s="2">
        <v>326047</v>
      </c>
      <c r="P686" t="s">
        <v>24</v>
      </c>
      <c r="Q686" t="s">
        <v>24</v>
      </c>
    </row>
    <row r="687" spans="1:17" x14ac:dyDescent="0.25">
      <c r="A687" t="s">
        <v>5641</v>
      </c>
      <c r="B687" t="s">
        <v>5642</v>
      </c>
      <c r="C687" s="1">
        <v>41275</v>
      </c>
      <c r="D687" s="1">
        <v>41639</v>
      </c>
      <c r="E687" t="s">
        <v>5643</v>
      </c>
      <c r="G687" t="s">
        <v>28</v>
      </c>
      <c r="H687" t="s">
        <v>29</v>
      </c>
      <c r="I687" t="str">
        <f>"60609"</f>
        <v>60609</v>
      </c>
      <c r="J687" t="s">
        <v>22</v>
      </c>
      <c r="K687" t="s">
        <v>30</v>
      </c>
      <c r="L687" s="2">
        <v>9676402</v>
      </c>
      <c r="M687" s="2">
        <v>3273074</v>
      </c>
      <c r="N687" s="2">
        <v>0</v>
      </c>
      <c r="O687" s="2">
        <v>358936</v>
      </c>
      <c r="P687" t="s">
        <v>24</v>
      </c>
      <c r="Q687" t="s">
        <v>24</v>
      </c>
    </row>
    <row r="688" spans="1:17" x14ac:dyDescent="0.25">
      <c r="A688" t="s">
        <v>6336</v>
      </c>
      <c r="B688" t="s">
        <v>6337</v>
      </c>
      <c r="C688" s="1">
        <v>41275</v>
      </c>
      <c r="D688" s="1">
        <v>41639</v>
      </c>
      <c r="E688" t="s">
        <v>6338</v>
      </c>
      <c r="G688" t="s">
        <v>6103</v>
      </c>
      <c r="H688" t="s">
        <v>29</v>
      </c>
      <c r="I688" t="str">
        <f>"60803"</f>
        <v>60803</v>
      </c>
      <c r="J688" t="s">
        <v>22</v>
      </c>
      <c r="K688" t="s">
        <v>23</v>
      </c>
      <c r="L688" s="2">
        <v>9656999</v>
      </c>
      <c r="M688" s="2">
        <v>12824254</v>
      </c>
      <c r="N688" s="2">
        <v>0</v>
      </c>
      <c r="O688" s="2">
        <v>986257</v>
      </c>
      <c r="P688" t="s">
        <v>24</v>
      </c>
      <c r="Q688" t="s">
        <v>24</v>
      </c>
    </row>
    <row r="689" spans="1:17" x14ac:dyDescent="0.25">
      <c r="A689" t="s">
        <v>3590</v>
      </c>
      <c r="B689" t="s">
        <v>3591</v>
      </c>
      <c r="C689" s="1">
        <v>41275</v>
      </c>
      <c r="D689" s="1">
        <v>41639</v>
      </c>
      <c r="E689" t="s">
        <v>3592</v>
      </c>
      <c r="G689" t="s">
        <v>405</v>
      </c>
      <c r="H689" t="s">
        <v>42</v>
      </c>
      <c r="I689" t="str">
        <f>"53598"</f>
        <v>53598</v>
      </c>
      <c r="J689" t="s">
        <v>22</v>
      </c>
      <c r="K689" t="s">
        <v>30</v>
      </c>
      <c r="L689" s="2">
        <v>9610523</v>
      </c>
      <c r="M689" s="2">
        <v>3576444</v>
      </c>
      <c r="N689" s="2">
        <v>0</v>
      </c>
      <c r="O689" s="2">
        <v>249799</v>
      </c>
      <c r="P689" t="s">
        <v>24</v>
      </c>
      <c r="Q689" t="s">
        <v>24</v>
      </c>
    </row>
    <row r="690" spans="1:17" x14ac:dyDescent="0.25">
      <c r="A690" t="s">
        <v>6937</v>
      </c>
      <c r="B690" t="s">
        <v>6938</v>
      </c>
      <c r="C690" s="1">
        <v>40909</v>
      </c>
      <c r="D690" s="1">
        <v>41274</v>
      </c>
      <c r="E690" t="s">
        <v>6939</v>
      </c>
      <c r="G690" t="s">
        <v>6940</v>
      </c>
      <c r="H690" t="s">
        <v>21</v>
      </c>
      <c r="I690" t="str">
        <f>"47421"</f>
        <v>47421</v>
      </c>
      <c r="J690" t="s">
        <v>63</v>
      </c>
      <c r="K690" t="s">
        <v>64</v>
      </c>
      <c r="L690" s="2">
        <v>9566352</v>
      </c>
      <c r="M690" s="2">
        <v>1890992</v>
      </c>
      <c r="N690" s="2">
        <v>262716</v>
      </c>
      <c r="O690" s="2">
        <v>717871</v>
      </c>
      <c r="P690" s="2">
        <v>25439</v>
      </c>
      <c r="Q690" s="2">
        <v>26567</v>
      </c>
    </row>
    <row r="691" spans="1:17" x14ac:dyDescent="0.25">
      <c r="A691" t="s">
        <v>2091</v>
      </c>
      <c r="B691" t="s">
        <v>2092</v>
      </c>
      <c r="C691" s="1">
        <v>41275</v>
      </c>
      <c r="D691" s="1">
        <v>41639</v>
      </c>
      <c r="E691" t="s">
        <v>2093</v>
      </c>
      <c r="G691" t="s">
        <v>1809</v>
      </c>
      <c r="H691" t="s">
        <v>29</v>
      </c>
      <c r="I691" t="str">
        <f>"60045"</f>
        <v>60045</v>
      </c>
      <c r="J691" t="s">
        <v>22</v>
      </c>
      <c r="K691" t="s">
        <v>30</v>
      </c>
      <c r="L691" s="2">
        <v>9566135</v>
      </c>
      <c r="M691" s="2">
        <v>4490728</v>
      </c>
      <c r="N691" s="2">
        <v>0</v>
      </c>
      <c r="O691" s="2">
        <v>546963</v>
      </c>
      <c r="P691" t="s">
        <v>24</v>
      </c>
      <c r="Q691" t="s">
        <v>24</v>
      </c>
    </row>
    <row r="692" spans="1:17" x14ac:dyDescent="0.25">
      <c r="A692" t="s">
        <v>1618</v>
      </c>
      <c r="B692" t="s">
        <v>1619</v>
      </c>
      <c r="C692" s="1">
        <v>40909</v>
      </c>
      <c r="D692" s="1">
        <v>41274</v>
      </c>
      <c r="E692" t="s">
        <v>1620</v>
      </c>
      <c r="G692" t="s">
        <v>1621</v>
      </c>
      <c r="H692" t="s">
        <v>21</v>
      </c>
      <c r="I692" t="str">
        <f>"47631"</f>
        <v>47631</v>
      </c>
      <c r="J692" t="s">
        <v>752</v>
      </c>
      <c r="K692" t="s">
        <v>753</v>
      </c>
      <c r="L692" s="2">
        <v>9531644</v>
      </c>
      <c r="M692" s="2">
        <v>1823788</v>
      </c>
      <c r="N692" s="2">
        <v>0</v>
      </c>
      <c r="O692" s="2">
        <v>427019</v>
      </c>
      <c r="P692" t="s">
        <v>24</v>
      </c>
      <c r="Q692" t="s">
        <v>24</v>
      </c>
    </row>
    <row r="693" spans="1:17" x14ac:dyDescent="0.25">
      <c r="A693" t="s">
        <v>3872</v>
      </c>
      <c r="B693" t="s">
        <v>3873</v>
      </c>
      <c r="C693" s="1">
        <v>40909</v>
      </c>
      <c r="D693" s="1">
        <v>41274</v>
      </c>
      <c r="E693" t="s">
        <v>3874</v>
      </c>
      <c r="G693" t="s">
        <v>28</v>
      </c>
      <c r="H693" t="s">
        <v>29</v>
      </c>
      <c r="I693" t="str">
        <f>"60661"</f>
        <v>60661</v>
      </c>
      <c r="J693" t="s">
        <v>22</v>
      </c>
      <c r="K693" t="s">
        <v>30</v>
      </c>
      <c r="L693" s="2">
        <v>9528768</v>
      </c>
      <c r="M693" s="2">
        <v>1731337</v>
      </c>
      <c r="N693" s="2">
        <v>111789</v>
      </c>
      <c r="O693" s="2">
        <v>608359</v>
      </c>
      <c r="P693" t="s">
        <v>24</v>
      </c>
      <c r="Q693" t="s">
        <v>24</v>
      </c>
    </row>
    <row r="694" spans="1:17" x14ac:dyDescent="0.25">
      <c r="A694" t="s">
        <v>5755</v>
      </c>
      <c r="B694" t="s">
        <v>5756</v>
      </c>
      <c r="C694" s="1">
        <v>41275</v>
      </c>
      <c r="D694" s="1">
        <v>41639</v>
      </c>
      <c r="E694" t="s">
        <v>5757</v>
      </c>
      <c r="G694" t="s">
        <v>2110</v>
      </c>
      <c r="H694" t="s">
        <v>47</v>
      </c>
      <c r="I694" t="str">
        <f>"48917"</f>
        <v>48917</v>
      </c>
      <c r="J694" t="s">
        <v>22</v>
      </c>
      <c r="K694" t="s">
        <v>30</v>
      </c>
      <c r="L694" s="2">
        <v>9522152</v>
      </c>
      <c r="M694" s="2">
        <v>4908459</v>
      </c>
      <c r="N694" s="2">
        <v>0</v>
      </c>
      <c r="O694" s="2">
        <v>526760</v>
      </c>
      <c r="P694" t="s">
        <v>24</v>
      </c>
      <c r="Q694" t="s">
        <v>24</v>
      </c>
    </row>
    <row r="695" spans="1:17" x14ac:dyDescent="0.25">
      <c r="A695" t="s">
        <v>5253</v>
      </c>
      <c r="B695" t="s">
        <v>5254</v>
      </c>
      <c r="C695" s="1">
        <v>41456</v>
      </c>
      <c r="D695" s="1">
        <v>41820</v>
      </c>
      <c r="E695" t="s">
        <v>5255</v>
      </c>
      <c r="G695" t="s">
        <v>428</v>
      </c>
      <c r="H695" t="s">
        <v>29</v>
      </c>
      <c r="I695" t="str">
        <f>"60178"</f>
        <v>60178</v>
      </c>
      <c r="J695" t="s">
        <v>63</v>
      </c>
      <c r="K695" t="s">
        <v>23</v>
      </c>
      <c r="L695" s="2">
        <v>9511470</v>
      </c>
      <c r="M695" s="2">
        <v>715022</v>
      </c>
      <c r="N695" s="2">
        <v>5650</v>
      </c>
      <c r="O695" s="2">
        <v>320987</v>
      </c>
      <c r="P695" s="2">
        <v>91985</v>
      </c>
      <c r="Q695" s="2">
        <v>0</v>
      </c>
    </row>
    <row r="696" spans="1:17" x14ac:dyDescent="0.25">
      <c r="A696" t="s">
        <v>730</v>
      </c>
      <c r="B696" t="s">
        <v>731</v>
      </c>
      <c r="C696" s="1">
        <v>41275</v>
      </c>
      <c r="D696" s="1">
        <v>41639</v>
      </c>
      <c r="E696" t="s">
        <v>732</v>
      </c>
      <c r="G696" t="s">
        <v>733</v>
      </c>
      <c r="H696" t="s">
        <v>29</v>
      </c>
      <c r="I696" t="str">
        <f>"60422"</f>
        <v>60422</v>
      </c>
      <c r="J696" t="s">
        <v>22</v>
      </c>
      <c r="K696" t="s">
        <v>30</v>
      </c>
      <c r="L696" s="2">
        <v>9485458</v>
      </c>
      <c r="M696" s="2">
        <v>2259314</v>
      </c>
      <c r="N696" s="2">
        <v>0</v>
      </c>
      <c r="O696" s="2">
        <v>824687</v>
      </c>
      <c r="P696" t="s">
        <v>24</v>
      </c>
      <c r="Q696" t="s">
        <v>24</v>
      </c>
    </row>
    <row r="697" spans="1:17" x14ac:dyDescent="0.25">
      <c r="A697" t="s">
        <v>1810</v>
      </c>
      <c r="B697" t="s">
        <v>1811</v>
      </c>
      <c r="C697" s="1">
        <v>41426</v>
      </c>
      <c r="D697" s="1">
        <v>41790</v>
      </c>
      <c r="E697" t="s">
        <v>1535</v>
      </c>
      <c r="G697" t="s">
        <v>41</v>
      </c>
      <c r="H697" t="s">
        <v>42</v>
      </c>
      <c r="I697" t="str">
        <f>"53201"</f>
        <v>53201</v>
      </c>
      <c r="J697" t="s">
        <v>22</v>
      </c>
      <c r="K697" t="s">
        <v>23</v>
      </c>
      <c r="L697" s="2">
        <v>9462575</v>
      </c>
      <c r="M697" s="2">
        <v>3209551</v>
      </c>
      <c r="N697" s="2">
        <v>0</v>
      </c>
      <c r="O697" s="2">
        <v>546409</v>
      </c>
      <c r="P697" t="s">
        <v>24</v>
      </c>
      <c r="Q697" t="s">
        <v>24</v>
      </c>
    </row>
    <row r="698" spans="1:17" x14ac:dyDescent="0.25">
      <c r="A698" t="s">
        <v>274</v>
      </c>
      <c r="B698" t="s">
        <v>275</v>
      </c>
      <c r="C698" s="1">
        <v>41275</v>
      </c>
      <c r="D698" s="1">
        <v>41639</v>
      </c>
      <c r="E698" t="s">
        <v>276</v>
      </c>
      <c r="G698" t="s">
        <v>28</v>
      </c>
      <c r="H698" t="s">
        <v>29</v>
      </c>
      <c r="I698" t="str">
        <f>"60611"</f>
        <v>60611</v>
      </c>
      <c r="J698" t="s">
        <v>22</v>
      </c>
      <c r="K698" t="s">
        <v>30</v>
      </c>
      <c r="L698" s="2">
        <v>9431556</v>
      </c>
      <c r="M698" s="2">
        <v>4480893</v>
      </c>
      <c r="N698" s="2">
        <v>0</v>
      </c>
      <c r="O698" s="2">
        <v>338339</v>
      </c>
      <c r="P698" t="s">
        <v>24</v>
      </c>
      <c r="Q698" t="s">
        <v>24</v>
      </c>
    </row>
    <row r="699" spans="1:17" x14ac:dyDescent="0.25">
      <c r="A699" t="s">
        <v>1667</v>
      </c>
      <c r="B699" t="s">
        <v>1668</v>
      </c>
      <c r="C699" s="1">
        <v>41275</v>
      </c>
      <c r="D699" s="1">
        <v>41639</v>
      </c>
      <c r="E699" t="s">
        <v>1669</v>
      </c>
      <c r="G699" t="s">
        <v>1670</v>
      </c>
      <c r="H699" t="s">
        <v>47</v>
      </c>
      <c r="I699" t="str">
        <f>"48324"</f>
        <v>48324</v>
      </c>
      <c r="J699" t="s">
        <v>22</v>
      </c>
      <c r="K699" t="s">
        <v>23</v>
      </c>
      <c r="L699" s="2">
        <v>9390579</v>
      </c>
      <c r="M699" s="2">
        <v>3788936</v>
      </c>
      <c r="N699" s="2">
        <v>0</v>
      </c>
      <c r="O699" s="2">
        <v>806784</v>
      </c>
      <c r="P699" t="s">
        <v>24</v>
      </c>
      <c r="Q699" t="s">
        <v>24</v>
      </c>
    </row>
    <row r="700" spans="1:17" x14ac:dyDescent="0.25">
      <c r="A700" t="s">
        <v>3686</v>
      </c>
      <c r="B700" t="s">
        <v>3687</v>
      </c>
      <c r="C700" s="1">
        <v>41275</v>
      </c>
      <c r="D700" s="1">
        <v>41639</v>
      </c>
      <c r="E700" t="s">
        <v>3688</v>
      </c>
      <c r="G700" t="s">
        <v>3689</v>
      </c>
      <c r="H700" t="s">
        <v>62</v>
      </c>
      <c r="I700" t="str">
        <f>"43952"</f>
        <v>43952</v>
      </c>
      <c r="J700" t="s">
        <v>22</v>
      </c>
      <c r="K700" t="s">
        <v>30</v>
      </c>
      <c r="L700" s="2">
        <v>9369220</v>
      </c>
      <c r="M700" s="2">
        <v>1288935</v>
      </c>
      <c r="N700" s="2">
        <v>0</v>
      </c>
      <c r="O700" s="2">
        <v>443147</v>
      </c>
      <c r="P700" t="s">
        <v>24</v>
      </c>
      <c r="Q700" t="s">
        <v>24</v>
      </c>
    </row>
    <row r="701" spans="1:17" x14ac:dyDescent="0.25">
      <c r="A701" t="s">
        <v>6074</v>
      </c>
      <c r="B701" t="s">
        <v>6075</v>
      </c>
      <c r="C701" s="1">
        <v>41275</v>
      </c>
      <c r="D701" s="1">
        <v>41639</v>
      </c>
      <c r="E701" t="s">
        <v>6076</v>
      </c>
      <c r="G701" t="s">
        <v>6077</v>
      </c>
      <c r="H701" t="s">
        <v>21</v>
      </c>
      <c r="I701" t="str">
        <f>"46352"</f>
        <v>46352</v>
      </c>
      <c r="J701" t="s">
        <v>63</v>
      </c>
      <c r="K701" t="s">
        <v>79</v>
      </c>
      <c r="L701" s="2">
        <v>9351196</v>
      </c>
      <c r="M701" s="2">
        <v>1585265</v>
      </c>
      <c r="N701" s="2">
        <v>514347</v>
      </c>
      <c r="O701" s="2">
        <v>783827</v>
      </c>
      <c r="P701" s="2">
        <v>72538</v>
      </c>
      <c r="Q701" s="2">
        <v>0</v>
      </c>
    </row>
    <row r="702" spans="1:17" x14ac:dyDescent="0.25">
      <c r="A702" t="s">
        <v>4901</v>
      </c>
      <c r="B702" t="s">
        <v>4902</v>
      </c>
      <c r="C702" s="1">
        <v>41275</v>
      </c>
      <c r="D702" s="1">
        <v>41639</v>
      </c>
      <c r="E702" t="s">
        <v>4903</v>
      </c>
      <c r="G702" t="s">
        <v>315</v>
      </c>
      <c r="H702" t="s">
        <v>42</v>
      </c>
      <c r="I702" t="str">
        <f>"54701"</f>
        <v>54701</v>
      </c>
      <c r="J702" t="s">
        <v>63</v>
      </c>
      <c r="K702" t="s">
        <v>64</v>
      </c>
      <c r="L702" s="2">
        <v>9350617</v>
      </c>
      <c r="M702" s="2">
        <v>706419</v>
      </c>
      <c r="N702" s="2">
        <v>1102083</v>
      </c>
      <c r="O702" s="2">
        <v>469691</v>
      </c>
      <c r="P702" s="2">
        <v>68313</v>
      </c>
      <c r="Q702" s="2">
        <v>92514</v>
      </c>
    </row>
    <row r="703" spans="1:17" x14ac:dyDescent="0.25">
      <c r="A703" t="s">
        <v>6545</v>
      </c>
      <c r="B703" t="s">
        <v>6546</v>
      </c>
      <c r="C703" s="1">
        <v>41275</v>
      </c>
      <c r="D703" s="1">
        <v>41639</v>
      </c>
      <c r="E703" t="s">
        <v>6547</v>
      </c>
      <c r="G703" t="s">
        <v>6548</v>
      </c>
      <c r="H703" t="s">
        <v>21</v>
      </c>
      <c r="I703" t="str">
        <f>"47448"</f>
        <v>47448</v>
      </c>
      <c r="J703" t="s">
        <v>63</v>
      </c>
      <c r="K703" t="s">
        <v>64</v>
      </c>
      <c r="L703" s="2">
        <v>9345547</v>
      </c>
      <c r="M703" s="2">
        <v>954952</v>
      </c>
      <c r="N703" s="2">
        <v>855181</v>
      </c>
      <c r="O703" s="2">
        <v>863889</v>
      </c>
      <c r="P703" s="2">
        <v>71606</v>
      </c>
      <c r="Q703" s="2">
        <v>65489</v>
      </c>
    </row>
    <row r="704" spans="1:17" x14ac:dyDescent="0.25">
      <c r="A704" t="s">
        <v>3026</v>
      </c>
      <c r="B704" t="s">
        <v>3027</v>
      </c>
      <c r="C704" s="1">
        <v>41275</v>
      </c>
      <c r="D704" s="1">
        <v>41639</v>
      </c>
      <c r="E704" t="s">
        <v>3028</v>
      </c>
      <c r="G704" t="s">
        <v>3029</v>
      </c>
      <c r="H704" t="s">
        <v>21</v>
      </c>
      <c r="I704" t="str">
        <f>"47274"</f>
        <v>47274</v>
      </c>
      <c r="J704" t="s">
        <v>63</v>
      </c>
      <c r="K704" t="s">
        <v>64</v>
      </c>
      <c r="L704" s="2">
        <v>9330755</v>
      </c>
      <c r="M704" s="2">
        <v>831604</v>
      </c>
      <c r="N704" s="2">
        <v>710148</v>
      </c>
      <c r="O704" s="2">
        <v>661134</v>
      </c>
      <c r="P704" s="2">
        <v>125190</v>
      </c>
      <c r="Q704" s="2">
        <v>41752</v>
      </c>
    </row>
    <row r="705" spans="1:17" x14ac:dyDescent="0.25">
      <c r="A705" t="s">
        <v>3346</v>
      </c>
      <c r="B705" t="s">
        <v>3347</v>
      </c>
      <c r="C705" s="1">
        <v>41275</v>
      </c>
      <c r="D705" s="1">
        <v>41639</v>
      </c>
      <c r="E705" t="s">
        <v>3348</v>
      </c>
      <c r="G705" t="s">
        <v>41</v>
      </c>
      <c r="H705" t="s">
        <v>42</v>
      </c>
      <c r="I705" t="str">
        <f>"53202"</f>
        <v>53202</v>
      </c>
      <c r="J705" t="s">
        <v>22</v>
      </c>
      <c r="K705" t="s">
        <v>23</v>
      </c>
      <c r="L705" s="2">
        <v>9313182</v>
      </c>
      <c r="M705" s="2">
        <v>10989185</v>
      </c>
      <c r="N705" s="2">
        <v>0</v>
      </c>
      <c r="O705" s="2">
        <v>385681</v>
      </c>
      <c r="P705" t="s">
        <v>24</v>
      </c>
      <c r="Q705" t="s">
        <v>24</v>
      </c>
    </row>
    <row r="706" spans="1:17" x14ac:dyDescent="0.25">
      <c r="A706" t="s">
        <v>7615</v>
      </c>
      <c r="B706" t="s">
        <v>7616</v>
      </c>
      <c r="C706" s="1">
        <v>40909</v>
      </c>
      <c r="D706" s="1">
        <v>41274</v>
      </c>
      <c r="E706" t="s">
        <v>7617</v>
      </c>
      <c r="G706" t="s">
        <v>2675</v>
      </c>
      <c r="H706" t="s">
        <v>29</v>
      </c>
      <c r="I706" t="str">
        <f>"60714"</f>
        <v>60714</v>
      </c>
      <c r="J706" t="s">
        <v>752</v>
      </c>
      <c r="K706" t="s">
        <v>753</v>
      </c>
      <c r="L706" s="2">
        <v>9300284</v>
      </c>
      <c r="M706" s="2">
        <v>54800201</v>
      </c>
      <c r="N706" s="2">
        <v>119095</v>
      </c>
      <c r="O706" s="2">
        <v>958617</v>
      </c>
      <c r="P706" t="s">
        <v>24</v>
      </c>
      <c r="Q706" t="s">
        <v>24</v>
      </c>
    </row>
    <row r="707" spans="1:17" x14ac:dyDescent="0.25">
      <c r="A707" t="s">
        <v>6097</v>
      </c>
      <c r="B707" t="s">
        <v>6098</v>
      </c>
      <c r="C707" s="1">
        <v>41183</v>
      </c>
      <c r="D707" s="1">
        <v>41547</v>
      </c>
      <c r="E707" t="s">
        <v>6099</v>
      </c>
      <c r="G707" t="s">
        <v>28</v>
      </c>
      <c r="H707" t="s">
        <v>29</v>
      </c>
      <c r="I707" t="str">
        <f>"60601"</f>
        <v>60601</v>
      </c>
      <c r="J707" t="s">
        <v>63</v>
      </c>
      <c r="K707" t="s">
        <v>79</v>
      </c>
      <c r="L707" s="2">
        <v>9284387</v>
      </c>
      <c r="M707" s="2">
        <v>1080000</v>
      </c>
      <c r="N707" s="2">
        <v>306266</v>
      </c>
      <c r="O707" s="2">
        <v>780516</v>
      </c>
      <c r="P707" s="2">
        <v>53824</v>
      </c>
      <c r="Q707" s="2">
        <v>224481</v>
      </c>
    </row>
    <row r="708" spans="1:17" x14ac:dyDescent="0.25">
      <c r="A708" t="s">
        <v>6975</v>
      </c>
      <c r="B708" t="s">
        <v>6976</v>
      </c>
      <c r="C708" s="1">
        <v>40909</v>
      </c>
      <c r="D708" s="1">
        <v>41274</v>
      </c>
      <c r="E708" t="s">
        <v>2052</v>
      </c>
      <c r="G708" t="s">
        <v>337</v>
      </c>
      <c r="H708" t="s">
        <v>62</v>
      </c>
      <c r="I708" t="str">
        <f>"44114"</f>
        <v>44114</v>
      </c>
      <c r="J708" t="s">
        <v>22</v>
      </c>
      <c r="K708" t="s">
        <v>30</v>
      </c>
      <c r="L708" s="2">
        <v>9280877</v>
      </c>
      <c r="M708" s="2">
        <v>3849027</v>
      </c>
      <c r="N708" s="2">
        <v>2041</v>
      </c>
      <c r="O708" s="2">
        <v>471620</v>
      </c>
      <c r="P708" t="s">
        <v>24</v>
      </c>
      <c r="Q708" t="s">
        <v>24</v>
      </c>
    </row>
    <row r="709" spans="1:17" x14ac:dyDescent="0.25">
      <c r="A709" t="s">
        <v>6778</v>
      </c>
      <c r="B709" t="s">
        <v>6779</v>
      </c>
      <c r="C709" s="1">
        <v>41091</v>
      </c>
      <c r="D709" s="1">
        <v>41455</v>
      </c>
      <c r="E709" t="s">
        <v>6780</v>
      </c>
      <c r="G709" t="s">
        <v>6017</v>
      </c>
      <c r="H709" t="s">
        <v>62</v>
      </c>
      <c r="I709" t="str">
        <f>"43701"</f>
        <v>43701</v>
      </c>
      <c r="J709" t="s">
        <v>22</v>
      </c>
      <c r="K709" t="s">
        <v>23</v>
      </c>
      <c r="L709" s="2">
        <v>9254432</v>
      </c>
      <c r="M709" s="2">
        <v>1162170</v>
      </c>
      <c r="N709" s="2">
        <v>365537</v>
      </c>
      <c r="O709" s="2">
        <v>459216</v>
      </c>
      <c r="P709" t="s">
        <v>24</v>
      </c>
      <c r="Q709" t="s">
        <v>24</v>
      </c>
    </row>
    <row r="710" spans="1:17" x14ac:dyDescent="0.25">
      <c r="A710" t="s">
        <v>7429</v>
      </c>
      <c r="B710" t="s">
        <v>7430</v>
      </c>
      <c r="C710" s="1">
        <v>41275</v>
      </c>
      <c r="D710" s="1">
        <v>41639</v>
      </c>
      <c r="E710" t="s">
        <v>7431</v>
      </c>
      <c r="G710" t="s">
        <v>353</v>
      </c>
      <c r="H710" t="s">
        <v>62</v>
      </c>
      <c r="I710" t="str">
        <f>"43209"</f>
        <v>43209</v>
      </c>
      <c r="J710" t="s">
        <v>22</v>
      </c>
      <c r="K710" t="s">
        <v>30</v>
      </c>
      <c r="L710" s="2">
        <v>9244555</v>
      </c>
      <c r="M710" s="2">
        <v>3777952</v>
      </c>
      <c r="N710" s="2">
        <v>0</v>
      </c>
      <c r="O710" s="2">
        <v>412511</v>
      </c>
      <c r="P710" t="s">
        <v>24</v>
      </c>
      <c r="Q710" t="s">
        <v>24</v>
      </c>
    </row>
    <row r="711" spans="1:17" x14ac:dyDescent="0.25">
      <c r="A711" t="s">
        <v>1395</v>
      </c>
      <c r="B711" t="s">
        <v>1396</v>
      </c>
      <c r="C711" s="1">
        <v>40909</v>
      </c>
      <c r="D711" s="1">
        <v>41274</v>
      </c>
      <c r="E711" t="s">
        <v>1397</v>
      </c>
      <c r="G711" t="s">
        <v>160</v>
      </c>
      <c r="H711" t="s">
        <v>78</v>
      </c>
      <c r="I711" t="str">
        <f>"40507"</f>
        <v>40507</v>
      </c>
      <c r="J711" t="s">
        <v>22</v>
      </c>
      <c r="K711" t="s">
        <v>30</v>
      </c>
      <c r="L711" s="2">
        <v>9242703</v>
      </c>
      <c r="M711" s="2">
        <v>17295</v>
      </c>
      <c r="N711" s="2">
        <v>0</v>
      </c>
      <c r="O711" s="2">
        <v>141024</v>
      </c>
      <c r="P711" t="s">
        <v>24</v>
      </c>
      <c r="Q711" t="s">
        <v>24</v>
      </c>
    </row>
    <row r="712" spans="1:17" x14ac:dyDescent="0.25">
      <c r="A712" t="s">
        <v>7242</v>
      </c>
      <c r="B712" t="s">
        <v>7243</v>
      </c>
      <c r="C712" s="1">
        <v>41275</v>
      </c>
      <c r="D712" s="1">
        <v>41639</v>
      </c>
      <c r="E712" t="s">
        <v>50</v>
      </c>
      <c r="G712" t="s">
        <v>28</v>
      </c>
      <c r="H712" t="s">
        <v>29</v>
      </c>
      <c r="I712" t="str">
        <f>"60603"</f>
        <v>60603</v>
      </c>
      <c r="J712" t="s">
        <v>22</v>
      </c>
      <c r="K712" t="s">
        <v>30</v>
      </c>
      <c r="L712" s="2">
        <v>9218132</v>
      </c>
      <c r="M712" s="2">
        <v>9199714</v>
      </c>
      <c r="N712" s="2">
        <v>0</v>
      </c>
      <c r="O712" s="2">
        <v>6131810</v>
      </c>
      <c r="P712" t="s">
        <v>24</v>
      </c>
      <c r="Q712" t="s">
        <v>24</v>
      </c>
    </row>
    <row r="713" spans="1:17" x14ac:dyDescent="0.25">
      <c r="A713" t="s">
        <v>7393</v>
      </c>
      <c r="B713" t="s">
        <v>7394</v>
      </c>
      <c r="C713" s="1">
        <v>41275</v>
      </c>
      <c r="D713" s="1">
        <v>41639</v>
      </c>
      <c r="E713" t="s">
        <v>7395</v>
      </c>
      <c r="G713" t="s">
        <v>6668</v>
      </c>
      <c r="H713" t="s">
        <v>42</v>
      </c>
      <c r="I713" t="str">
        <f>"54481"</f>
        <v>54481</v>
      </c>
      <c r="J713" t="s">
        <v>22</v>
      </c>
      <c r="K713" t="s">
        <v>23</v>
      </c>
      <c r="L713" s="2">
        <v>9112510</v>
      </c>
      <c r="M713" s="2">
        <v>5063513</v>
      </c>
      <c r="N713" s="2">
        <v>596034</v>
      </c>
      <c r="O713" s="2">
        <v>2895472</v>
      </c>
      <c r="P713" t="s">
        <v>24</v>
      </c>
      <c r="Q713" t="s">
        <v>24</v>
      </c>
    </row>
    <row r="714" spans="1:17" x14ac:dyDescent="0.25">
      <c r="A714" t="s">
        <v>7070</v>
      </c>
      <c r="B714" t="s">
        <v>7071</v>
      </c>
      <c r="C714" s="1">
        <v>41275</v>
      </c>
      <c r="D714" s="1">
        <v>41639</v>
      </c>
      <c r="E714" t="s">
        <v>5392</v>
      </c>
      <c r="G714" t="s">
        <v>4434</v>
      </c>
      <c r="H714" t="s">
        <v>62</v>
      </c>
      <c r="I714" t="str">
        <f>"44663"</f>
        <v>44663</v>
      </c>
      <c r="J714" t="s">
        <v>22</v>
      </c>
      <c r="K714" t="s">
        <v>64</v>
      </c>
      <c r="L714" s="2">
        <v>9071905</v>
      </c>
      <c r="M714" s="2">
        <v>8655975</v>
      </c>
      <c r="N714" s="2">
        <v>0</v>
      </c>
      <c r="O714" s="2">
        <v>451488</v>
      </c>
      <c r="P714" t="s">
        <v>24</v>
      </c>
      <c r="Q714" t="s">
        <v>24</v>
      </c>
    </row>
    <row r="715" spans="1:17" x14ac:dyDescent="0.25">
      <c r="A715" t="s">
        <v>3098</v>
      </c>
      <c r="B715" t="s">
        <v>3099</v>
      </c>
      <c r="C715" s="1">
        <v>41275</v>
      </c>
      <c r="D715" s="1">
        <v>41639</v>
      </c>
      <c r="E715" t="s">
        <v>3100</v>
      </c>
      <c r="G715" t="s">
        <v>3101</v>
      </c>
      <c r="H715" t="s">
        <v>47</v>
      </c>
      <c r="I715" t="str">
        <f>"48446"</f>
        <v>48446</v>
      </c>
      <c r="J715" t="s">
        <v>63</v>
      </c>
      <c r="K715" t="s">
        <v>64</v>
      </c>
      <c r="L715" s="2">
        <v>9024048</v>
      </c>
      <c r="M715" s="2">
        <v>722119</v>
      </c>
      <c r="N715" s="2">
        <v>1440674</v>
      </c>
      <c r="O715" s="2">
        <v>474190</v>
      </c>
      <c r="P715" s="2">
        <v>206784</v>
      </c>
      <c r="Q715" s="2">
        <v>0</v>
      </c>
    </row>
    <row r="716" spans="1:17" x14ac:dyDescent="0.25">
      <c r="A716" t="s">
        <v>6538</v>
      </c>
      <c r="B716" t="s">
        <v>6539</v>
      </c>
      <c r="C716" s="1">
        <v>41275</v>
      </c>
      <c r="D716" s="1">
        <v>41639</v>
      </c>
      <c r="E716" t="s">
        <v>6540</v>
      </c>
      <c r="G716" t="s">
        <v>353</v>
      </c>
      <c r="H716" t="s">
        <v>21</v>
      </c>
      <c r="I716" t="str">
        <f>"47201"</f>
        <v>47201</v>
      </c>
      <c r="J716" t="s">
        <v>22</v>
      </c>
      <c r="K716" t="s">
        <v>23</v>
      </c>
      <c r="L716" s="2">
        <v>9023646</v>
      </c>
      <c r="M716" s="2">
        <v>2118706</v>
      </c>
      <c r="N716" s="2">
        <v>0</v>
      </c>
      <c r="O716" s="2">
        <v>346269</v>
      </c>
      <c r="P716" t="s">
        <v>24</v>
      </c>
      <c r="Q716" t="s">
        <v>24</v>
      </c>
    </row>
    <row r="717" spans="1:17" x14ac:dyDescent="0.25">
      <c r="A717" t="s">
        <v>1663</v>
      </c>
      <c r="B717" t="s">
        <v>1664</v>
      </c>
      <c r="C717" s="1">
        <v>41275</v>
      </c>
      <c r="D717" s="1">
        <v>41639</v>
      </c>
      <c r="E717" t="s">
        <v>163</v>
      </c>
      <c r="G717" t="s">
        <v>28</v>
      </c>
      <c r="H717" t="s">
        <v>29</v>
      </c>
      <c r="I717" t="str">
        <f>"60603"</f>
        <v>60603</v>
      </c>
      <c r="J717" t="s">
        <v>22</v>
      </c>
      <c r="K717" t="s">
        <v>23</v>
      </c>
      <c r="L717" s="2">
        <v>9021984</v>
      </c>
      <c r="M717" s="2">
        <v>4987855</v>
      </c>
      <c r="N717" s="2">
        <v>0</v>
      </c>
      <c r="O717" s="2">
        <v>305840</v>
      </c>
      <c r="P717" t="s">
        <v>24</v>
      </c>
      <c r="Q717" t="s">
        <v>24</v>
      </c>
    </row>
    <row r="718" spans="1:17" x14ac:dyDescent="0.25">
      <c r="A718" t="s">
        <v>7746</v>
      </c>
      <c r="B718" t="s">
        <v>7747</v>
      </c>
      <c r="C718" s="1">
        <v>40952</v>
      </c>
      <c r="D718" s="1">
        <v>41274</v>
      </c>
      <c r="E718" t="s">
        <v>7748</v>
      </c>
      <c r="G718" t="s">
        <v>1648</v>
      </c>
      <c r="H718" t="s">
        <v>29</v>
      </c>
      <c r="I718" t="str">
        <f>"61821"</f>
        <v>61821</v>
      </c>
      <c r="J718" t="s">
        <v>22</v>
      </c>
      <c r="K718" t="s">
        <v>23</v>
      </c>
      <c r="L718" s="2">
        <v>9007486</v>
      </c>
      <c r="M718" s="2">
        <v>8972028</v>
      </c>
      <c r="N718" s="2">
        <v>0</v>
      </c>
      <c r="O718" t="s">
        <v>24</v>
      </c>
      <c r="P718" t="s">
        <v>24</v>
      </c>
      <c r="Q718" t="s">
        <v>24</v>
      </c>
    </row>
    <row r="719" spans="1:17" x14ac:dyDescent="0.25">
      <c r="A719" t="s">
        <v>933</v>
      </c>
      <c r="B719" t="s">
        <v>934</v>
      </c>
      <c r="C719" s="1">
        <v>41275</v>
      </c>
      <c r="D719" s="1">
        <v>41639</v>
      </c>
      <c r="E719" t="s">
        <v>935</v>
      </c>
      <c r="G719" t="s">
        <v>936</v>
      </c>
      <c r="H719" t="s">
        <v>29</v>
      </c>
      <c r="I719" t="str">
        <f>"61031"</f>
        <v>61031</v>
      </c>
      <c r="J719" t="s">
        <v>22</v>
      </c>
      <c r="K719" t="s">
        <v>30</v>
      </c>
      <c r="L719" s="2">
        <v>8988737</v>
      </c>
      <c r="M719" s="2">
        <v>8571101</v>
      </c>
      <c r="N719" s="2">
        <v>0</v>
      </c>
      <c r="O719" s="2">
        <v>550119</v>
      </c>
      <c r="P719" t="s">
        <v>24</v>
      </c>
      <c r="Q719" t="s">
        <v>24</v>
      </c>
    </row>
    <row r="720" spans="1:17" x14ac:dyDescent="0.25">
      <c r="A720" t="s">
        <v>6232</v>
      </c>
      <c r="B720" t="s">
        <v>6233</v>
      </c>
      <c r="C720" s="1">
        <v>41122</v>
      </c>
      <c r="D720" s="1">
        <v>41486</v>
      </c>
      <c r="E720" t="s">
        <v>6234</v>
      </c>
      <c r="G720" t="s">
        <v>1376</v>
      </c>
      <c r="H720" t="s">
        <v>29</v>
      </c>
      <c r="I720" t="str">
        <f>"60010"</f>
        <v>60010</v>
      </c>
      <c r="J720" t="s">
        <v>22</v>
      </c>
      <c r="K720" t="s">
        <v>30</v>
      </c>
      <c r="L720" s="2">
        <v>8926201</v>
      </c>
      <c r="M720" s="2">
        <v>8653334</v>
      </c>
      <c r="N720" s="2">
        <v>0</v>
      </c>
      <c r="O720" s="2">
        <v>464058</v>
      </c>
      <c r="P720" t="s">
        <v>24</v>
      </c>
      <c r="Q720" t="s">
        <v>24</v>
      </c>
    </row>
    <row r="721" spans="1:17" x14ac:dyDescent="0.25">
      <c r="A721" t="s">
        <v>777</v>
      </c>
      <c r="B721" t="s">
        <v>778</v>
      </c>
      <c r="C721" s="1">
        <v>41275</v>
      </c>
      <c r="D721" s="1">
        <v>41639</v>
      </c>
      <c r="E721" t="s">
        <v>779</v>
      </c>
      <c r="G721" t="s">
        <v>147</v>
      </c>
      <c r="H721" t="s">
        <v>62</v>
      </c>
      <c r="I721" t="str">
        <f>"44333"</f>
        <v>44333</v>
      </c>
      <c r="J721" t="s">
        <v>22</v>
      </c>
      <c r="K721" t="s">
        <v>30</v>
      </c>
      <c r="L721" s="2">
        <v>8924392</v>
      </c>
      <c r="M721" s="2">
        <v>1479962</v>
      </c>
      <c r="N721" s="2">
        <v>48675</v>
      </c>
      <c r="O721" s="2">
        <v>700239</v>
      </c>
      <c r="P721" t="s">
        <v>24</v>
      </c>
      <c r="Q721" t="s">
        <v>24</v>
      </c>
    </row>
    <row r="722" spans="1:17" x14ac:dyDescent="0.25">
      <c r="A722" t="s">
        <v>4725</v>
      </c>
      <c r="B722" t="s">
        <v>4726</v>
      </c>
      <c r="C722" s="1">
        <v>41275</v>
      </c>
      <c r="D722" s="1">
        <v>41639</v>
      </c>
      <c r="E722" t="s">
        <v>4727</v>
      </c>
      <c r="G722" t="s">
        <v>815</v>
      </c>
      <c r="H722" t="s">
        <v>21</v>
      </c>
      <c r="I722" t="str">
        <f>"46410"</f>
        <v>46410</v>
      </c>
      <c r="J722" t="s">
        <v>22</v>
      </c>
      <c r="K722" t="s">
        <v>30</v>
      </c>
      <c r="L722" s="2">
        <v>8877174</v>
      </c>
      <c r="M722" s="2">
        <v>563202</v>
      </c>
      <c r="N722" s="2">
        <v>0</v>
      </c>
      <c r="O722" s="2">
        <v>590555</v>
      </c>
      <c r="P722" t="s">
        <v>24</v>
      </c>
      <c r="Q722" t="s">
        <v>24</v>
      </c>
    </row>
    <row r="723" spans="1:17" x14ac:dyDescent="0.25">
      <c r="A723" t="s">
        <v>5522</v>
      </c>
      <c r="B723" t="s">
        <v>5523</v>
      </c>
      <c r="C723" s="1">
        <v>41275</v>
      </c>
      <c r="D723" s="1">
        <v>41639</v>
      </c>
      <c r="E723" t="s">
        <v>104</v>
      </c>
      <c r="G723" t="s">
        <v>28</v>
      </c>
      <c r="H723" t="s">
        <v>29</v>
      </c>
      <c r="I723" t="str">
        <f>"60680"</f>
        <v>60680</v>
      </c>
      <c r="J723" t="s">
        <v>22</v>
      </c>
      <c r="K723" t="s">
        <v>23</v>
      </c>
      <c r="L723" s="2">
        <v>8840755</v>
      </c>
      <c r="M723" s="2">
        <v>2565565</v>
      </c>
      <c r="N723" s="2">
        <v>0</v>
      </c>
      <c r="O723" s="2">
        <v>578585</v>
      </c>
      <c r="P723" t="s">
        <v>24</v>
      </c>
      <c r="Q723" t="s">
        <v>24</v>
      </c>
    </row>
    <row r="724" spans="1:17" x14ac:dyDescent="0.25">
      <c r="A724" t="s">
        <v>5871</v>
      </c>
      <c r="B724" t="s">
        <v>5872</v>
      </c>
      <c r="C724" s="1">
        <v>41275</v>
      </c>
      <c r="D724" s="1">
        <v>41639</v>
      </c>
      <c r="E724" t="s">
        <v>5873</v>
      </c>
      <c r="G724" t="s">
        <v>28</v>
      </c>
      <c r="H724" t="s">
        <v>29</v>
      </c>
      <c r="I724" t="str">
        <f>"60657"</f>
        <v>60657</v>
      </c>
      <c r="J724" t="s">
        <v>22</v>
      </c>
      <c r="K724" t="s">
        <v>30</v>
      </c>
      <c r="L724" s="2">
        <v>8813515</v>
      </c>
      <c r="M724" s="2">
        <v>2548237</v>
      </c>
      <c r="N724" s="2">
        <v>0</v>
      </c>
      <c r="O724" s="2">
        <v>588703</v>
      </c>
      <c r="P724" t="s">
        <v>24</v>
      </c>
      <c r="Q724" t="s">
        <v>24</v>
      </c>
    </row>
    <row r="725" spans="1:17" x14ac:dyDescent="0.25">
      <c r="A725" t="s">
        <v>3539</v>
      </c>
      <c r="B725" t="s">
        <v>3540</v>
      </c>
      <c r="C725" s="1">
        <v>41091</v>
      </c>
      <c r="D725" s="1">
        <v>41455</v>
      </c>
      <c r="E725" t="s">
        <v>3541</v>
      </c>
      <c r="G725" t="s">
        <v>2230</v>
      </c>
      <c r="H725" t="s">
        <v>21</v>
      </c>
      <c r="I725" t="str">
        <f>"47308"</f>
        <v>47308</v>
      </c>
      <c r="J725" t="s">
        <v>63</v>
      </c>
      <c r="K725" t="s">
        <v>23</v>
      </c>
      <c r="L725" s="2">
        <v>8778071</v>
      </c>
      <c r="M725" s="2">
        <v>591966</v>
      </c>
      <c r="N725" s="2">
        <v>9989902</v>
      </c>
      <c r="O725" s="2">
        <v>1016120</v>
      </c>
      <c r="P725" s="2">
        <v>299</v>
      </c>
      <c r="Q725" s="2">
        <v>0</v>
      </c>
    </row>
    <row r="726" spans="1:17" x14ac:dyDescent="0.25">
      <c r="A726" t="s">
        <v>230</v>
      </c>
      <c r="B726" t="s">
        <v>231</v>
      </c>
      <c r="C726" s="1">
        <v>41275</v>
      </c>
      <c r="D726" s="1">
        <v>41639</v>
      </c>
      <c r="E726" t="s">
        <v>232</v>
      </c>
      <c r="G726" t="s">
        <v>233</v>
      </c>
      <c r="H726" t="s">
        <v>29</v>
      </c>
      <c r="I726" t="str">
        <f>"62467"</f>
        <v>62467</v>
      </c>
      <c r="J726" t="s">
        <v>22</v>
      </c>
      <c r="K726" t="s">
        <v>30</v>
      </c>
      <c r="L726" s="2">
        <v>8777757</v>
      </c>
      <c r="M726" s="2">
        <v>38444</v>
      </c>
      <c r="N726" s="2">
        <v>0</v>
      </c>
      <c r="O726" s="2">
        <v>671715</v>
      </c>
      <c r="P726" t="s">
        <v>24</v>
      </c>
      <c r="Q726" t="s">
        <v>24</v>
      </c>
    </row>
    <row r="727" spans="1:17" x14ac:dyDescent="0.25">
      <c r="A727" t="s">
        <v>7056</v>
      </c>
      <c r="B727" t="s">
        <v>7057</v>
      </c>
      <c r="C727" s="1">
        <v>41334</v>
      </c>
      <c r="D727" s="1">
        <v>41698</v>
      </c>
      <c r="E727" t="s">
        <v>5096</v>
      </c>
      <c r="G727" t="s">
        <v>1339</v>
      </c>
      <c r="H727" t="s">
        <v>47</v>
      </c>
      <c r="I727" t="str">
        <f>"48084"</f>
        <v>48084</v>
      </c>
      <c r="J727" t="s">
        <v>22</v>
      </c>
      <c r="K727" t="s">
        <v>30</v>
      </c>
      <c r="L727" s="2">
        <v>8770085</v>
      </c>
      <c r="M727" s="2">
        <v>3509912</v>
      </c>
      <c r="N727" s="2">
        <v>0</v>
      </c>
      <c r="O727" s="2">
        <v>972341</v>
      </c>
      <c r="P727" t="s">
        <v>24</v>
      </c>
      <c r="Q727" t="s">
        <v>24</v>
      </c>
    </row>
    <row r="728" spans="1:17" x14ac:dyDescent="0.25">
      <c r="A728" t="s">
        <v>676</v>
      </c>
      <c r="B728" t="s">
        <v>677</v>
      </c>
      <c r="C728" s="1">
        <v>41597</v>
      </c>
      <c r="D728" s="1">
        <v>41639</v>
      </c>
      <c r="E728" t="s">
        <v>678</v>
      </c>
      <c r="G728" t="s">
        <v>28</v>
      </c>
      <c r="H728" t="s">
        <v>29</v>
      </c>
      <c r="I728" t="str">
        <f>"60603"</f>
        <v>60603</v>
      </c>
      <c r="J728" t="s">
        <v>22</v>
      </c>
      <c r="K728" t="s">
        <v>23</v>
      </c>
      <c r="L728" s="2">
        <v>8755806</v>
      </c>
      <c r="M728" s="2">
        <v>2183424</v>
      </c>
      <c r="N728" s="2">
        <v>0</v>
      </c>
      <c r="O728" s="2">
        <v>1502411</v>
      </c>
      <c r="P728" t="s">
        <v>24</v>
      </c>
      <c r="Q728" t="s">
        <v>24</v>
      </c>
    </row>
    <row r="729" spans="1:17" x14ac:dyDescent="0.25">
      <c r="A729" t="s">
        <v>7714</v>
      </c>
      <c r="B729" t="s">
        <v>7715</v>
      </c>
      <c r="C729" s="1">
        <v>41275</v>
      </c>
      <c r="D729" s="1">
        <v>41639</v>
      </c>
      <c r="E729" t="s">
        <v>7716</v>
      </c>
      <c r="G729" t="s">
        <v>2534</v>
      </c>
      <c r="H729" t="s">
        <v>78</v>
      </c>
      <c r="I729" t="str">
        <f>"42302"</f>
        <v>42302</v>
      </c>
      <c r="J729" t="s">
        <v>22</v>
      </c>
      <c r="K729" t="s">
        <v>23</v>
      </c>
      <c r="L729" s="2">
        <v>8735276</v>
      </c>
      <c r="M729" s="2">
        <v>2667980</v>
      </c>
      <c r="N729" s="2">
        <v>0</v>
      </c>
      <c r="O729" s="2">
        <v>528312</v>
      </c>
      <c r="P729" t="s">
        <v>24</v>
      </c>
      <c r="Q729" t="s">
        <v>24</v>
      </c>
    </row>
    <row r="730" spans="1:17" x14ac:dyDescent="0.25">
      <c r="A730" t="s">
        <v>1639</v>
      </c>
      <c r="B730" t="s">
        <v>1640</v>
      </c>
      <c r="C730" s="1">
        <v>41275</v>
      </c>
      <c r="D730" s="1">
        <v>41639</v>
      </c>
      <c r="E730" t="s">
        <v>1641</v>
      </c>
      <c r="G730" t="s">
        <v>41</v>
      </c>
      <c r="H730" t="s">
        <v>42</v>
      </c>
      <c r="I730" t="str">
        <f>"53234"</f>
        <v>53234</v>
      </c>
      <c r="J730" t="s">
        <v>63</v>
      </c>
      <c r="K730" t="s">
        <v>79</v>
      </c>
      <c r="L730" s="2">
        <v>8703186</v>
      </c>
      <c r="M730" s="2">
        <v>1821171</v>
      </c>
      <c r="N730" s="2">
        <v>3842</v>
      </c>
      <c r="O730" s="2">
        <v>629707</v>
      </c>
      <c r="P730" s="2">
        <v>2242</v>
      </c>
      <c r="Q730" s="2">
        <v>27913</v>
      </c>
    </row>
    <row r="731" spans="1:17" x14ac:dyDescent="0.25">
      <c r="A731" t="s">
        <v>5130</v>
      </c>
      <c r="B731" t="s">
        <v>5131</v>
      </c>
      <c r="C731" s="1">
        <v>41275</v>
      </c>
      <c r="D731" s="1">
        <v>41639</v>
      </c>
      <c r="E731" t="s">
        <v>5132</v>
      </c>
      <c r="G731" t="s">
        <v>28</v>
      </c>
      <c r="H731" t="s">
        <v>29</v>
      </c>
      <c r="I731" t="str">
        <f>"60611"</f>
        <v>60611</v>
      </c>
      <c r="J731" t="s">
        <v>752</v>
      </c>
      <c r="K731" t="s">
        <v>753</v>
      </c>
      <c r="L731" s="2">
        <v>8668370</v>
      </c>
      <c r="M731" s="2">
        <v>3884282</v>
      </c>
      <c r="N731" s="2">
        <v>0</v>
      </c>
      <c r="O731" s="2">
        <v>21515</v>
      </c>
      <c r="P731" t="s">
        <v>24</v>
      </c>
      <c r="Q731" t="s">
        <v>24</v>
      </c>
    </row>
    <row r="732" spans="1:17" x14ac:dyDescent="0.25">
      <c r="A732" t="s">
        <v>6730</v>
      </c>
      <c r="B732" t="s">
        <v>6731</v>
      </c>
      <c r="C732" s="1">
        <v>41091</v>
      </c>
      <c r="D732" s="1">
        <v>41455</v>
      </c>
      <c r="E732" t="s">
        <v>6732</v>
      </c>
      <c r="G732" t="s">
        <v>659</v>
      </c>
      <c r="H732" t="s">
        <v>47</v>
      </c>
      <c r="I732" t="str">
        <f>"48033"</f>
        <v>48033</v>
      </c>
      <c r="J732" t="s">
        <v>22</v>
      </c>
      <c r="K732" t="s">
        <v>30</v>
      </c>
      <c r="L732" s="2">
        <v>8647963</v>
      </c>
      <c r="M732" s="2">
        <v>3532135</v>
      </c>
      <c r="N732" s="2">
        <v>324042</v>
      </c>
      <c r="O732" s="2">
        <v>499538</v>
      </c>
      <c r="P732" t="s">
        <v>24</v>
      </c>
      <c r="Q732" t="s">
        <v>24</v>
      </c>
    </row>
    <row r="733" spans="1:17" x14ac:dyDescent="0.25">
      <c r="A733" t="s">
        <v>3073</v>
      </c>
      <c r="B733" t="s">
        <v>3074</v>
      </c>
      <c r="C733" s="1">
        <v>41275</v>
      </c>
      <c r="D733" s="1">
        <v>41639</v>
      </c>
      <c r="E733" t="s">
        <v>3075</v>
      </c>
      <c r="G733" t="s">
        <v>3076</v>
      </c>
      <c r="H733" t="s">
        <v>62</v>
      </c>
      <c r="I733" t="str">
        <f>"44022"</f>
        <v>44022</v>
      </c>
      <c r="J733" t="s">
        <v>22</v>
      </c>
      <c r="K733" t="s">
        <v>23</v>
      </c>
      <c r="L733" s="2">
        <v>8643979</v>
      </c>
      <c r="M733" s="2">
        <v>259401</v>
      </c>
      <c r="N733" s="2">
        <v>0</v>
      </c>
      <c r="O733" s="2">
        <v>475210</v>
      </c>
      <c r="P733" t="s">
        <v>24</v>
      </c>
      <c r="Q733" t="s">
        <v>24</v>
      </c>
    </row>
    <row r="734" spans="1:17" x14ac:dyDescent="0.25">
      <c r="A734" t="s">
        <v>7663</v>
      </c>
      <c r="B734" t="s">
        <v>7664</v>
      </c>
      <c r="C734" s="1">
        <v>41275</v>
      </c>
      <c r="D734" s="1">
        <v>41547</v>
      </c>
      <c r="E734" t="s">
        <v>7665</v>
      </c>
      <c r="F734" t="s">
        <v>1480</v>
      </c>
      <c r="G734" t="s">
        <v>7666</v>
      </c>
      <c r="H734" t="s">
        <v>47</v>
      </c>
      <c r="I734" t="str">
        <f>"49601"</f>
        <v>49601</v>
      </c>
      <c r="J734" t="s">
        <v>63</v>
      </c>
      <c r="K734" t="s">
        <v>64</v>
      </c>
      <c r="L734" s="2">
        <v>8643252</v>
      </c>
      <c r="M734" s="2">
        <v>491866</v>
      </c>
      <c r="N734" s="2">
        <v>10822</v>
      </c>
      <c r="O734" s="2">
        <v>283102</v>
      </c>
      <c r="P734" s="2">
        <v>135799</v>
      </c>
      <c r="Q734" s="2">
        <v>6837</v>
      </c>
    </row>
    <row r="735" spans="1:17" x14ac:dyDescent="0.25">
      <c r="A735" t="s">
        <v>3652</v>
      </c>
      <c r="B735" t="s">
        <v>3653</v>
      </c>
      <c r="C735" s="1">
        <v>41275</v>
      </c>
      <c r="D735" s="1">
        <v>41639</v>
      </c>
      <c r="E735" t="s">
        <v>3654</v>
      </c>
      <c r="G735" t="s">
        <v>3655</v>
      </c>
      <c r="H735" t="s">
        <v>42</v>
      </c>
      <c r="I735" t="str">
        <f>"54650"</f>
        <v>54650</v>
      </c>
      <c r="J735" t="s">
        <v>22</v>
      </c>
      <c r="K735" t="s">
        <v>23</v>
      </c>
      <c r="L735" s="2">
        <v>8620327</v>
      </c>
      <c r="M735" s="2">
        <v>7627344</v>
      </c>
      <c r="N735" s="2">
        <v>0</v>
      </c>
      <c r="O735" s="2">
        <v>445557</v>
      </c>
      <c r="P735" t="s">
        <v>24</v>
      </c>
      <c r="Q735" t="s">
        <v>24</v>
      </c>
    </row>
    <row r="736" spans="1:17" x14ac:dyDescent="0.25">
      <c r="A736" t="s">
        <v>5789</v>
      </c>
      <c r="B736" t="s">
        <v>5790</v>
      </c>
      <c r="C736" s="1">
        <v>41275</v>
      </c>
      <c r="D736" s="1">
        <v>41639</v>
      </c>
      <c r="E736" t="s">
        <v>2898</v>
      </c>
      <c r="G736" t="s">
        <v>28</v>
      </c>
      <c r="H736" t="s">
        <v>29</v>
      </c>
      <c r="I736" t="str">
        <f>"60603"</f>
        <v>60603</v>
      </c>
      <c r="J736" t="s">
        <v>22</v>
      </c>
      <c r="K736" t="s">
        <v>30</v>
      </c>
      <c r="L736" s="2">
        <v>8609755</v>
      </c>
      <c r="M736" s="2">
        <v>3108947</v>
      </c>
      <c r="N736" s="2">
        <v>0</v>
      </c>
      <c r="O736" s="2">
        <v>618605</v>
      </c>
      <c r="P736" t="s">
        <v>24</v>
      </c>
      <c r="Q736" t="s">
        <v>24</v>
      </c>
    </row>
    <row r="737" spans="1:17" x14ac:dyDescent="0.25">
      <c r="A737" t="s">
        <v>1742</v>
      </c>
      <c r="B737" t="s">
        <v>1743</v>
      </c>
      <c r="C737" s="1">
        <v>41275</v>
      </c>
      <c r="D737" s="1">
        <v>41639</v>
      </c>
      <c r="E737" t="s">
        <v>1744</v>
      </c>
      <c r="G737" t="s">
        <v>1745</v>
      </c>
      <c r="H737" t="s">
        <v>47</v>
      </c>
      <c r="I737" t="str">
        <f>"49801"</f>
        <v>49801</v>
      </c>
      <c r="J737" t="s">
        <v>63</v>
      </c>
      <c r="K737" t="s">
        <v>64</v>
      </c>
      <c r="L737" s="2">
        <v>8602951</v>
      </c>
      <c r="M737" s="2">
        <v>1829276</v>
      </c>
      <c r="N737" s="2">
        <v>3578</v>
      </c>
      <c r="O737" s="2">
        <v>294557</v>
      </c>
      <c r="P737" s="2">
        <v>42955</v>
      </c>
      <c r="Q737" s="2">
        <v>36738</v>
      </c>
    </row>
    <row r="738" spans="1:17" x14ac:dyDescent="0.25">
      <c r="A738" t="s">
        <v>6866</v>
      </c>
      <c r="B738" t="s">
        <v>6867</v>
      </c>
      <c r="C738" s="1">
        <v>41275</v>
      </c>
      <c r="D738" s="1">
        <v>41639</v>
      </c>
      <c r="E738" t="s">
        <v>2132</v>
      </c>
      <c r="G738" t="s">
        <v>41</v>
      </c>
      <c r="H738" t="s">
        <v>42</v>
      </c>
      <c r="I738" t="str">
        <f>"53212"</f>
        <v>53212</v>
      </c>
      <c r="J738" t="s">
        <v>63</v>
      </c>
      <c r="K738" t="s">
        <v>64</v>
      </c>
      <c r="L738" s="2">
        <v>8596484</v>
      </c>
      <c r="M738" s="2">
        <v>1173766</v>
      </c>
      <c r="N738" s="2">
        <v>55523</v>
      </c>
      <c r="O738" s="2">
        <v>567368</v>
      </c>
      <c r="P738" s="2">
        <v>113729</v>
      </c>
      <c r="Q738" s="2">
        <v>16849</v>
      </c>
    </row>
    <row r="739" spans="1:17" x14ac:dyDescent="0.25">
      <c r="A739" t="s">
        <v>6955</v>
      </c>
      <c r="B739" t="s">
        <v>6956</v>
      </c>
      <c r="C739" s="1">
        <v>41000</v>
      </c>
      <c r="D739" s="1">
        <v>41364</v>
      </c>
      <c r="E739" t="s">
        <v>6957</v>
      </c>
      <c r="G739" t="s">
        <v>6958</v>
      </c>
      <c r="H739" t="s">
        <v>47</v>
      </c>
      <c r="I739" t="str">
        <f>"49107"</f>
        <v>49107</v>
      </c>
      <c r="J739" t="s">
        <v>63</v>
      </c>
      <c r="K739" t="s">
        <v>64</v>
      </c>
      <c r="L739" s="2">
        <v>8576348</v>
      </c>
      <c r="M739" s="2">
        <v>1238369</v>
      </c>
      <c r="N739" s="2">
        <v>990344</v>
      </c>
      <c r="O739" s="2">
        <v>680686</v>
      </c>
      <c r="P739" s="2">
        <v>52899</v>
      </c>
      <c r="Q739" s="2">
        <v>65526</v>
      </c>
    </row>
    <row r="740" spans="1:17" x14ac:dyDescent="0.25">
      <c r="A740" t="s">
        <v>2137</v>
      </c>
      <c r="B740" t="s">
        <v>2138</v>
      </c>
      <c r="C740" s="1">
        <v>41275</v>
      </c>
      <c r="D740" s="1">
        <v>41639</v>
      </c>
      <c r="E740" t="s">
        <v>374</v>
      </c>
      <c r="G740" t="s">
        <v>167</v>
      </c>
      <c r="H740" t="s">
        <v>62</v>
      </c>
      <c r="I740" t="str">
        <f>"45202"</f>
        <v>45202</v>
      </c>
      <c r="J740" t="s">
        <v>22</v>
      </c>
      <c r="K740" t="s">
        <v>23</v>
      </c>
      <c r="L740" s="2">
        <v>8561975</v>
      </c>
      <c r="M740" s="2">
        <v>2117942</v>
      </c>
      <c r="N740" s="2">
        <v>0</v>
      </c>
      <c r="O740" s="2">
        <v>439250</v>
      </c>
      <c r="P740" t="s">
        <v>24</v>
      </c>
      <c r="Q740" t="s">
        <v>24</v>
      </c>
    </row>
    <row r="741" spans="1:17" x14ac:dyDescent="0.25">
      <c r="A741" t="s">
        <v>5382</v>
      </c>
      <c r="B741" t="s">
        <v>5383</v>
      </c>
      <c r="C741" s="1">
        <v>40909</v>
      </c>
      <c r="D741" s="1">
        <v>41274</v>
      </c>
      <c r="E741" t="s">
        <v>50</v>
      </c>
      <c r="G741" t="s">
        <v>28</v>
      </c>
      <c r="H741" t="s">
        <v>29</v>
      </c>
      <c r="I741" t="str">
        <f>"60603"</f>
        <v>60603</v>
      </c>
      <c r="J741" t="s">
        <v>22</v>
      </c>
      <c r="K741" t="s">
        <v>30</v>
      </c>
      <c r="L741" s="2">
        <v>8551114</v>
      </c>
      <c r="M741" s="2">
        <v>4736233</v>
      </c>
      <c r="N741" s="2">
        <v>0</v>
      </c>
      <c r="O741" s="2">
        <v>494055</v>
      </c>
      <c r="P741" t="s">
        <v>24</v>
      </c>
      <c r="Q741" t="s">
        <v>24</v>
      </c>
    </row>
    <row r="742" spans="1:17" x14ac:dyDescent="0.25">
      <c r="A742" t="s">
        <v>6091</v>
      </c>
      <c r="B742" t="s">
        <v>6092</v>
      </c>
      <c r="C742" s="1">
        <v>41275</v>
      </c>
      <c r="D742" s="1">
        <v>41639</v>
      </c>
      <c r="E742" t="s">
        <v>6093</v>
      </c>
      <c r="G742" t="s">
        <v>86</v>
      </c>
      <c r="H742" t="s">
        <v>42</v>
      </c>
      <c r="I742" t="str">
        <f>"53717"</f>
        <v>53717</v>
      </c>
      <c r="J742" t="s">
        <v>22</v>
      </c>
      <c r="K742" t="s">
        <v>30</v>
      </c>
      <c r="L742" s="2">
        <v>8517479</v>
      </c>
      <c r="M742" s="2">
        <v>10075742</v>
      </c>
      <c r="N742" s="2">
        <v>378</v>
      </c>
      <c r="O742" s="2">
        <v>925274</v>
      </c>
      <c r="P742" t="s">
        <v>24</v>
      </c>
      <c r="Q742" t="s">
        <v>24</v>
      </c>
    </row>
    <row r="743" spans="1:17" x14ac:dyDescent="0.25">
      <c r="A743" t="s">
        <v>7516</v>
      </c>
      <c r="B743" t="s">
        <v>7517</v>
      </c>
      <c r="C743" s="1">
        <v>41275</v>
      </c>
      <c r="D743" s="1">
        <v>41639</v>
      </c>
      <c r="E743" t="s">
        <v>50</v>
      </c>
      <c r="G743" t="s">
        <v>28</v>
      </c>
      <c r="H743" t="s">
        <v>29</v>
      </c>
      <c r="I743" t="str">
        <f>"60603"</f>
        <v>60603</v>
      </c>
      <c r="J743" t="s">
        <v>22</v>
      </c>
      <c r="K743" t="s">
        <v>30</v>
      </c>
      <c r="L743" s="2">
        <v>8508570</v>
      </c>
      <c r="M743" s="2">
        <v>1540240</v>
      </c>
      <c r="N743" s="2">
        <v>0</v>
      </c>
      <c r="O743" s="2">
        <v>366978</v>
      </c>
      <c r="P743" t="s">
        <v>24</v>
      </c>
      <c r="Q743" t="s">
        <v>24</v>
      </c>
    </row>
    <row r="744" spans="1:17" x14ac:dyDescent="0.25">
      <c r="A744" t="s">
        <v>7752</v>
      </c>
      <c r="B744" t="s">
        <v>7753</v>
      </c>
      <c r="C744" s="1">
        <v>41275</v>
      </c>
      <c r="D744" s="1">
        <v>41639</v>
      </c>
      <c r="E744" t="s">
        <v>7754</v>
      </c>
      <c r="G744" t="s">
        <v>139</v>
      </c>
      <c r="H744" t="s">
        <v>47</v>
      </c>
      <c r="I744" t="str">
        <f>"49546"</f>
        <v>49546</v>
      </c>
      <c r="J744" t="s">
        <v>22</v>
      </c>
      <c r="K744" t="s">
        <v>23</v>
      </c>
      <c r="L744" s="2">
        <v>8489356</v>
      </c>
      <c r="M744" s="2">
        <v>2249368</v>
      </c>
      <c r="N744" s="2">
        <v>3051926</v>
      </c>
      <c r="O744" s="2">
        <v>1476713</v>
      </c>
      <c r="P744" t="s">
        <v>24</v>
      </c>
      <c r="Q744" t="s">
        <v>24</v>
      </c>
    </row>
    <row r="745" spans="1:17" x14ac:dyDescent="0.25">
      <c r="A745" t="s">
        <v>5815</v>
      </c>
      <c r="B745" t="s">
        <v>5816</v>
      </c>
      <c r="C745" s="1">
        <v>41365</v>
      </c>
      <c r="D745" s="1">
        <v>41729</v>
      </c>
      <c r="E745" t="s">
        <v>5817</v>
      </c>
      <c r="G745" t="s">
        <v>5818</v>
      </c>
      <c r="H745" t="s">
        <v>29</v>
      </c>
      <c r="I745" t="str">
        <f>"61254"</f>
        <v>61254</v>
      </c>
      <c r="J745" t="s">
        <v>22</v>
      </c>
      <c r="K745" t="s">
        <v>23</v>
      </c>
      <c r="L745" s="2">
        <v>8420805</v>
      </c>
      <c r="M745" s="2">
        <v>826438</v>
      </c>
      <c r="N745" s="2">
        <v>27500</v>
      </c>
      <c r="O745" s="2">
        <v>448728</v>
      </c>
      <c r="P745" t="s">
        <v>24</v>
      </c>
      <c r="Q745" t="s">
        <v>24</v>
      </c>
    </row>
    <row r="746" spans="1:17" x14ac:dyDescent="0.25">
      <c r="A746" t="s">
        <v>6275</v>
      </c>
      <c r="B746" t="s">
        <v>6276</v>
      </c>
      <c r="C746" s="1">
        <v>41456</v>
      </c>
      <c r="D746" s="1">
        <v>41820</v>
      </c>
      <c r="E746" t="s">
        <v>6277</v>
      </c>
      <c r="G746" t="s">
        <v>1362</v>
      </c>
      <c r="H746" t="s">
        <v>29</v>
      </c>
      <c r="I746" t="str">
        <f>"60430"</f>
        <v>60430</v>
      </c>
      <c r="J746" t="s">
        <v>22</v>
      </c>
      <c r="K746" t="s">
        <v>23</v>
      </c>
      <c r="L746" s="2">
        <v>8414373</v>
      </c>
      <c r="M746" s="2">
        <v>9705104</v>
      </c>
      <c r="N746" s="2">
        <v>0</v>
      </c>
      <c r="O746" s="2">
        <v>268351</v>
      </c>
      <c r="P746" t="s">
        <v>24</v>
      </c>
      <c r="Q746" t="s">
        <v>24</v>
      </c>
    </row>
    <row r="747" spans="1:17" x14ac:dyDescent="0.25">
      <c r="A747" t="s">
        <v>7090</v>
      </c>
      <c r="B747" t="s">
        <v>7091</v>
      </c>
      <c r="C747" s="1">
        <v>41275</v>
      </c>
      <c r="D747" s="1">
        <v>41639</v>
      </c>
      <c r="E747" t="s">
        <v>7092</v>
      </c>
      <c r="G747" t="s">
        <v>3173</v>
      </c>
      <c r="H747" t="s">
        <v>29</v>
      </c>
      <c r="I747" t="str">
        <f>"60004"</f>
        <v>60004</v>
      </c>
      <c r="J747" t="s">
        <v>22</v>
      </c>
      <c r="K747" t="s">
        <v>23</v>
      </c>
      <c r="L747" s="2">
        <v>8388850</v>
      </c>
      <c r="M747" s="2">
        <v>1030737</v>
      </c>
      <c r="N747" s="2">
        <v>482327</v>
      </c>
      <c r="O747" s="2">
        <v>1393772</v>
      </c>
      <c r="P747" t="s">
        <v>24</v>
      </c>
      <c r="Q747" t="s">
        <v>24</v>
      </c>
    </row>
    <row r="748" spans="1:17" x14ac:dyDescent="0.25">
      <c r="A748" t="s">
        <v>6528</v>
      </c>
      <c r="B748" t="s">
        <v>6529</v>
      </c>
      <c r="C748" s="1">
        <v>41275</v>
      </c>
      <c r="D748" s="1">
        <v>41639</v>
      </c>
      <c r="E748" t="s">
        <v>6530</v>
      </c>
      <c r="G748" t="s">
        <v>147</v>
      </c>
      <c r="H748" t="s">
        <v>62</v>
      </c>
      <c r="I748" t="str">
        <f>"44333"</f>
        <v>44333</v>
      </c>
      <c r="J748" t="s">
        <v>22</v>
      </c>
      <c r="K748" t="s">
        <v>23</v>
      </c>
      <c r="L748" s="2">
        <v>8378981</v>
      </c>
      <c r="M748" s="2">
        <v>3628164</v>
      </c>
      <c r="N748" s="2">
        <v>0</v>
      </c>
      <c r="O748" s="2">
        <v>789705</v>
      </c>
      <c r="P748" t="s">
        <v>24</v>
      </c>
      <c r="Q748" t="s">
        <v>24</v>
      </c>
    </row>
    <row r="749" spans="1:17" x14ac:dyDescent="0.25">
      <c r="A749" t="s">
        <v>1085</v>
      </c>
      <c r="B749" t="s">
        <v>1086</v>
      </c>
      <c r="C749" s="1">
        <v>41275</v>
      </c>
      <c r="D749" s="1">
        <v>41639</v>
      </c>
      <c r="E749" t="s">
        <v>1087</v>
      </c>
      <c r="G749" t="s">
        <v>858</v>
      </c>
      <c r="H749" t="s">
        <v>29</v>
      </c>
      <c r="I749" t="str">
        <f>"60187"</f>
        <v>60187</v>
      </c>
      <c r="J749" t="s">
        <v>22</v>
      </c>
      <c r="K749" t="s">
        <v>23</v>
      </c>
      <c r="L749" s="2">
        <v>8363532</v>
      </c>
      <c r="M749" s="2">
        <v>1533991</v>
      </c>
      <c r="N749" s="2">
        <v>0</v>
      </c>
      <c r="O749" s="2">
        <v>746235</v>
      </c>
      <c r="P749" t="s">
        <v>24</v>
      </c>
      <c r="Q749" t="s">
        <v>24</v>
      </c>
    </row>
    <row r="750" spans="1:17" x14ac:dyDescent="0.25">
      <c r="A750" t="s">
        <v>114</v>
      </c>
      <c r="B750" t="s">
        <v>115</v>
      </c>
      <c r="C750" s="1">
        <v>41579</v>
      </c>
      <c r="D750" s="1">
        <v>41943</v>
      </c>
      <c r="E750" t="s">
        <v>104</v>
      </c>
      <c r="G750" t="s">
        <v>28</v>
      </c>
      <c r="H750" t="s">
        <v>29</v>
      </c>
      <c r="I750" t="str">
        <f>"60680"</f>
        <v>60680</v>
      </c>
      <c r="J750" t="s">
        <v>22</v>
      </c>
      <c r="K750" t="s">
        <v>30</v>
      </c>
      <c r="L750" s="2">
        <v>8363353</v>
      </c>
      <c r="M750" s="2">
        <v>7076656</v>
      </c>
      <c r="N750" s="2">
        <v>0</v>
      </c>
      <c r="O750" s="2">
        <v>405678</v>
      </c>
      <c r="P750" t="s">
        <v>24</v>
      </c>
      <c r="Q750" t="s">
        <v>24</v>
      </c>
    </row>
    <row r="751" spans="1:17" x14ac:dyDescent="0.25">
      <c r="A751" t="s">
        <v>1879</v>
      </c>
      <c r="B751" t="s">
        <v>1880</v>
      </c>
      <c r="C751" s="1">
        <v>41275</v>
      </c>
      <c r="D751" s="1">
        <v>41639</v>
      </c>
      <c r="E751" t="s">
        <v>1881</v>
      </c>
      <c r="G751" t="s">
        <v>1882</v>
      </c>
      <c r="H751" t="s">
        <v>62</v>
      </c>
      <c r="I751" t="str">
        <f>"45176"</f>
        <v>45176</v>
      </c>
      <c r="J751" t="s">
        <v>22</v>
      </c>
      <c r="K751" t="s">
        <v>23</v>
      </c>
      <c r="L751" s="2">
        <v>8354867</v>
      </c>
      <c r="M751" s="2">
        <v>6585400</v>
      </c>
      <c r="N751" s="2">
        <v>0</v>
      </c>
      <c r="O751" s="2">
        <v>359739</v>
      </c>
      <c r="P751" t="s">
        <v>24</v>
      </c>
      <c r="Q751" t="s">
        <v>24</v>
      </c>
    </row>
    <row r="752" spans="1:17" x14ac:dyDescent="0.25">
      <c r="A752" t="s">
        <v>6598</v>
      </c>
      <c r="B752" t="s">
        <v>6599</v>
      </c>
      <c r="C752" s="1">
        <v>41275</v>
      </c>
      <c r="D752" s="1">
        <v>41639</v>
      </c>
      <c r="E752" t="s">
        <v>6600</v>
      </c>
      <c r="F752" t="s">
        <v>6601</v>
      </c>
      <c r="G752" t="s">
        <v>6602</v>
      </c>
      <c r="H752" t="s">
        <v>47</v>
      </c>
      <c r="I752" t="str">
        <f>"49757"</f>
        <v>49757</v>
      </c>
      <c r="J752" t="s">
        <v>63</v>
      </c>
      <c r="K752" t="s">
        <v>64</v>
      </c>
      <c r="L752" s="2">
        <v>8353540</v>
      </c>
      <c r="M752" s="2">
        <v>1871230</v>
      </c>
      <c r="N752" s="2">
        <v>0</v>
      </c>
      <c r="O752" s="2">
        <v>339622</v>
      </c>
      <c r="P752" s="2">
        <v>64851</v>
      </c>
      <c r="Q752" s="2">
        <v>1535</v>
      </c>
    </row>
    <row r="753" spans="1:17" x14ac:dyDescent="0.25">
      <c r="A753" t="s">
        <v>4485</v>
      </c>
      <c r="B753" t="s">
        <v>4486</v>
      </c>
      <c r="C753" s="1">
        <v>41244</v>
      </c>
      <c r="D753" s="1">
        <v>41608</v>
      </c>
      <c r="E753" t="s">
        <v>4487</v>
      </c>
      <c r="G753" t="s">
        <v>28</v>
      </c>
      <c r="H753" t="s">
        <v>29</v>
      </c>
      <c r="I753" t="str">
        <f>"60611"</f>
        <v>60611</v>
      </c>
      <c r="J753" t="s">
        <v>22</v>
      </c>
      <c r="K753" t="s">
        <v>30</v>
      </c>
      <c r="L753" s="2">
        <v>8294775</v>
      </c>
      <c r="M753" s="2">
        <v>4761272</v>
      </c>
      <c r="N753" s="2">
        <v>195425</v>
      </c>
      <c r="O753" s="2">
        <v>480528</v>
      </c>
      <c r="P753" t="s">
        <v>24</v>
      </c>
      <c r="Q753" t="s">
        <v>24</v>
      </c>
    </row>
    <row r="754" spans="1:17" x14ac:dyDescent="0.25">
      <c r="A754" t="s">
        <v>1340</v>
      </c>
      <c r="B754" t="s">
        <v>1341</v>
      </c>
      <c r="C754" s="1">
        <v>41091</v>
      </c>
      <c r="D754" s="1">
        <v>41455</v>
      </c>
      <c r="E754" t="s">
        <v>1342</v>
      </c>
      <c r="G754" t="s">
        <v>77</v>
      </c>
      <c r="H754" t="s">
        <v>78</v>
      </c>
      <c r="I754" t="str">
        <f>"40232"</f>
        <v>40232</v>
      </c>
      <c r="J754" t="s">
        <v>22</v>
      </c>
      <c r="K754" t="s">
        <v>23</v>
      </c>
      <c r="L754" s="2">
        <v>8283430</v>
      </c>
      <c r="M754" s="2">
        <v>1486020</v>
      </c>
      <c r="N754" s="2">
        <v>0</v>
      </c>
      <c r="O754" s="2">
        <v>468383</v>
      </c>
      <c r="P754" t="s">
        <v>24</v>
      </c>
      <c r="Q754" t="s">
        <v>24</v>
      </c>
    </row>
    <row r="755" spans="1:17" x14ac:dyDescent="0.25">
      <c r="A755" t="s">
        <v>1003</v>
      </c>
      <c r="B755" t="s">
        <v>1004</v>
      </c>
      <c r="C755" s="1">
        <v>41275</v>
      </c>
      <c r="D755" s="1">
        <v>41639</v>
      </c>
      <c r="E755" t="s">
        <v>1005</v>
      </c>
      <c r="G755" t="s">
        <v>1006</v>
      </c>
      <c r="H755" t="s">
        <v>47</v>
      </c>
      <c r="I755" t="str">
        <f>"48413"</f>
        <v>48413</v>
      </c>
      <c r="J755" t="s">
        <v>22</v>
      </c>
      <c r="K755" t="s">
        <v>30</v>
      </c>
      <c r="L755" s="2">
        <v>8276458</v>
      </c>
      <c r="M755" s="2">
        <v>1893286</v>
      </c>
      <c r="N755" s="2">
        <v>1284</v>
      </c>
      <c r="O755" s="2">
        <v>381678</v>
      </c>
      <c r="P755" t="s">
        <v>24</v>
      </c>
      <c r="Q755" t="s">
        <v>24</v>
      </c>
    </row>
    <row r="756" spans="1:17" x14ac:dyDescent="0.25">
      <c r="A756" t="s">
        <v>6005</v>
      </c>
      <c r="B756" t="s">
        <v>6006</v>
      </c>
      <c r="C756" s="1">
        <v>41275</v>
      </c>
      <c r="D756" s="1">
        <v>41639</v>
      </c>
      <c r="E756" t="s">
        <v>6007</v>
      </c>
      <c r="G756" t="s">
        <v>20</v>
      </c>
      <c r="H756" t="s">
        <v>21</v>
      </c>
      <c r="I756" t="str">
        <f>"46235"</f>
        <v>46235</v>
      </c>
      <c r="J756" t="s">
        <v>22</v>
      </c>
      <c r="K756" t="s">
        <v>23</v>
      </c>
      <c r="L756" s="2">
        <v>8274847</v>
      </c>
      <c r="M756" s="2">
        <v>3047579</v>
      </c>
      <c r="N756" s="2">
        <v>49541</v>
      </c>
      <c r="O756" s="2">
        <v>2784024</v>
      </c>
      <c r="P756" t="s">
        <v>24</v>
      </c>
      <c r="Q756" t="s">
        <v>24</v>
      </c>
    </row>
    <row r="757" spans="1:17" x14ac:dyDescent="0.25">
      <c r="A757" t="s">
        <v>1637</v>
      </c>
      <c r="B757" t="s">
        <v>1638</v>
      </c>
      <c r="C757" s="1">
        <v>40909</v>
      </c>
      <c r="D757" s="1">
        <v>41274</v>
      </c>
      <c r="E757" t="s">
        <v>50</v>
      </c>
      <c r="G757" t="s">
        <v>28</v>
      </c>
      <c r="H757" t="s">
        <v>29</v>
      </c>
      <c r="I757" t="str">
        <f>"60603"</f>
        <v>60603</v>
      </c>
      <c r="J757" t="s">
        <v>22</v>
      </c>
      <c r="K757" t="s">
        <v>30</v>
      </c>
      <c r="L757" s="2">
        <v>8271259</v>
      </c>
      <c r="M757" s="2">
        <v>4602011</v>
      </c>
      <c r="N757" s="2">
        <v>0</v>
      </c>
      <c r="O757" s="2">
        <v>457302</v>
      </c>
      <c r="P757" t="s">
        <v>24</v>
      </c>
      <c r="Q757" t="s">
        <v>24</v>
      </c>
    </row>
    <row r="758" spans="1:17" x14ac:dyDescent="0.25">
      <c r="A758" t="s">
        <v>2531</v>
      </c>
      <c r="B758" t="s">
        <v>2532</v>
      </c>
      <c r="C758" s="1">
        <v>41275</v>
      </c>
      <c r="D758" s="1">
        <v>41639</v>
      </c>
      <c r="E758" t="s">
        <v>2533</v>
      </c>
      <c r="G758" t="s">
        <v>2534</v>
      </c>
      <c r="H758" t="s">
        <v>78</v>
      </c>
      <c r="I758" t="str">
        <f>"42301"</f>
        <v>42301</v>
      </c>
      <c r="J758" t="s">
        <v>752</v>
      </c>
      <c r="K758" t="s">
        <v>64</v>
      </c>
      <c r="L758" s="2">
        <v>8262804</v>
      </c>
      <c r="M758" s="2">
        <v>8409058</v>
      </c>
      <c r="N758" s="2">
        <v>6673</v>
      </c>
      <c r="O758" s="2">
        <v>822623</v>
      </c>
      <c r="P758" t="s">
        <v>24</v>
      </c>
      <c r="Q758" t="s">
        <v>24</v>
      </c>
    </row>
    <row r="759" spans="1:17" x14ac:dyDescent="0.25">
      <c r="A759" t="s">
        <v>7704</v>
      </c>
      <c r="B759" t="s">
        <v>7705</v>
      </c>
      <c r="C759" s="1">
        <v>41275</v>
      </c>
      <c r="D759" s="1">
        <v>41639</v>
      </c>
      <c r="E759" t="s">
        <v>7706</v>
      </c>
      <c r="G759" t="s">
        <v>7707</v>
      </c>
      <c r="H759" t="s">
        <v>21</v>
      </c>
      <c r="I759" t="str">
        <f>"47394"</f>
        <v>47394</v>
      </c>
      <c r="J759" t="s">
        <v>63</v>
      </c>
      <c r="K759" t="s">
        <v>64</v>
      </c>
      <c r="L759" s="2">
        <v>8262514</v>
      </c>
      <c r="M759" s="2">
        <v>1285963</v>
      </c>
      <c r="N759" s="2">
        <v>149671</v>
      </c>
      <c r="O759" s="2">
        <v>628515</v>
      </c>
      <c r="P759" s="2">
        <v>52417</v>
      </c>
      <c r="Q759" s="2">
        <v>11807</v>
      </c>
    </row>
    <row r="760" spans="1:17" x14ac:dyDescent="0.25">
      <c r="A760" t="s">
        <v>2050</v>
      </c>
      <c r="B760" t="s">
        <v>2051</v>
      </c>
      <c r="C760" s="1">
        <v>41275</v>
      </c>
      <c r="D760" s="1">
        <v>41639</v>
      </c>
      <c r="E760" t="s">
        <v>2052</v>
      </c>
      <c r="G760" t="s">
        <v>337</v>
      </c>
      <c r="H760" t="s">
        <v>62</v>
      </c>
      <c r="I760" t="str">
        <f>"44114"</f>
        <v>44114</v>
      </c>
      <c r="J760" t="s">
        <v>22</v>
      </c>
      <c r="K760" t="s">
        <v>30</v>
      </c>
      <c r="L760" s="2">
        <v>8234457</v>
      </c>
      <c r="M760" s="2">
        <v>1402834</v>
      </c>
      <c r="N760" s="2">
        <v>20360</v>
      </c>
      <c r="O760" s="2">
        <v>362522</v>
      </c>
      <c r="P760" t="s">
        <v>24</v>
      </c>
      <c r="Q760" t="s">
        <v>24</v>
      </c>
    </row>
    <row r="761" spans="1:17" x14ac:dyDescent="0.25">
      <c r="A761" t="s">
        <v>2242</v>
      </c>
      <c r="B761" t="s">
        <v>2243</v>
      </c>
      <c r="C761" s="1">
        <v>41275</v>
      </c>
      <c r="D761" s="1">
        <v>41639</v>
      </c>
      <c r="E761" t="s">
        <v>2244</v>
      </c>
      <c r="G761" t="s">
        <v>2245</v>
      </c>
      <c r="H761" t="s">
        <v>47</v>
      </c>
      <c r="I761" t="str">
        <f>"48734"</f>
        <v>48734</v>
      </c>
      <c r="J761" t="s">
        <v>63</v>
      </c>
      <c r="K761" t="s">
        <v>64</v>
      </c>
      <c r="L761" s="2">
        <v>8187654</v>
      </c>
      <c r="M761" s="2">
        <v>2071141</v>
      </c>
      <c r="N761" s="2">
        <v>0</v>
      </c>
      <c r="O761" s="2">
        <v>289247</v>
      </c>
      <c r="P761" s="2">
        <v>84793</v>
      </c>
      <c r="Q761" s="2">
        <v>0</v>
      </c>
    </row>
    <row r="762" spans="1:17" x14ac:dyDescent="0.25">
      <c r="A762" t="s">
        <v>5267</v>
      </c>
      <c r="B762" t="s">
        <v>5268</v>
      </c>
      <c r="C762" s="1">
        <v>41275</v>
      </c>
      <c r="D762" s="1">
        <v>41639</v>
      </c>
      <c r="E762" t="s">
        <v>5269</v>
      </c>
      <c r="G762" t="s">
        <v>5270</v>
      </c>
      <c r="H762" t="s">
        <v>62</v>
      </c>
      <c r="I762" t="str">
        <f>"45342"</f>
        <v>45342</v>
      </c>
      <c r="J762" t="s">
        <v>63</v>
      </c>
      <c r="K762" t="s">
        <v>23</v>
      </c>
      <c r="L762" s="2">
        <v>8184280</v>
      </c>
      <c r="M762" s="2">
        <v>1663554</v>
      </c>
      <c r="N762" s="2">
        <v>10253</v>
      </c>
      <c r="O762" s="2">
        <v>343902</v>
      </c>
      <c r="P762" s="2">
        <v>21055</v>
      </c>
      <c r="Q762" s="2">
        <v>0</v>
      </c>
    </row>
    <row r="763" spans="1:17" x14ac:dyDescent="0.25">
      <c r="A763" t="s">
        <v>945</v>
      </c>
      <c r="B763" t="s">
        <v>946</v>
      </c>
      <c r="C763" s="1">
        <v>41275</v>
      </c>
      <c r="D763" s="1">
        <v>41639</v>
      </c>
      <c r="E763" t="s">
        <v>947</v>
      </c>
      <c r="G763" t="s">
        <v>948</v>
      </c>
      <c r="H763" t="s">
        <v>29</v>
      </c>
      <c r="I763" t="str">
        <f>"61401"</f>
        <v>61401</v>
      </c>
      <c r="J763" t="s">
        <v>22</v>
      </c>
      <c r="K763" t="s">
        <v>23</v>
      </c>
      <c r="L763" s="2">
        <v>8179212</v>
      </c>
      <c r="M763" s="2">
        <v>492397</v>
      </c>
      <c r="N763" s="2">
        <v>0</v>
      </c>
      <c r="O763" s="2">
        <v>501345</v>
      </c>
      <c r="P763" t="s">
        <v>24</v>
      </c>
      <c r="Q763" t="s">
        <v>24</v>
      </c>
    </row>
    <row r="764" spans="1:17" x14ac:dyDescent="0.25">
      <c r="A764" t="s">
        <v>3081</v>
      </c>
      <c r="B764" t="s">
        <v>3082</v>
      </c>
      <c r="C764" s="1">
        <v>41275</v>
      </c>
      <c r="D764" s="1">
        <v>41639</v>
      </c>
      <c r="E764" t="s">
        <v>3083</v>
      </c>
      <c r="G764" t="s">
        <v>3084</v>
      </c>
      <c r="H764" t="s">
        <v>62</v>
      </c>
      <c r="I764" t="str">
        <f>"43113"</f>
        <v>43113</v>
      </c>
      <c r="J764" t="s">
        <v>63</v>
      </c>
      <c r="K764" t="s">
        <v>64</v>
      </c>
      <c r="L764" s="2">
        <v>8174829</v>
      </c>
      <c r="M764" s="2">
        <v>366179</v>
      </c>
      <c r="N764" s="2">
        <v>1625806</v>
      </c>
      <c r="O764" s="2">
        <v>151354</v>
      </c>
      <c r="P764" s="2">
        <v>9456</v>
      </c>
      <c r="Q764" s="2">
        <v>75</v>
      </c>
    </row>
    <row r="765" spans="1:17" x14ac:dyDescent="0.25">
      <c r="A765" t="s">
        <v>2126</v>
      </c>
      <c r="B765" t="s">
        <v>2127</v>
      </c>
      <c r="C765" s="1">
        <v>40909</v>
      </c>
      <c r="D765" s="1">
        <v>41274</v>
      </c>
      <c r="E765" t="s">
        <v>2128</v>
      </c>
      <c r="G765" t="s">
        <v>2129</v>
      </c>
      <c r="H765" t="s">
        <v>62</v>
      </c>
      <c r="I765" t="str">
        <f>"43065"</f>
        <v>43065</v>
      </c>
      <c r="J765" t="s">
        <v>63</v>
      </c>
      <c r="K765" t="s">
        <v>64</v>
      </c>
      <c r="L765" s="2">
        <v>8169147</v>
      </c>
      <c r="M765" s="2">
        <v>792718</v>
      </c>
      <c r="N765" s="2">
        <v>103193</v>
      </c>
      <c r="O765" s="2">
        <v>934567</v>
      </c>
      <c r="P765" s="2">
        <v>281827</v>
      </c>
      <c r="Q765" s="2">
        <v>0</v>
      </c>
    </row>
    <row r="766" spans="1:17" x14ac:dyDescent="0.25">
      <c r="A766" t="s">
        <v>5025</v>
      </c>
      <c r="B766" t="s">
        <v>5026</v>
      </c>
      <c r="C766" s="1">
        <v>41275</v>
      </c>
      <c r="D766" s="1">
        <v>41639</v>
      </c>
      <c r="E766" t="s">
        <v>5027</v>
      </c>
      <c r="G766" t="s">
        <v>353</v>
      </c>
      <c r="H766" t="s">
        <v>62</v>
      </c>
      <c r="I766" t="str">
        <f>"43212"</f>
        <v>43212</v>
      </c>
      <c r="J766" t="s">
        <v>22</v>
      </c>
      <c r="K766" t="s">
        <v>23</v>
      </c>
      <c r="L766" s="2">
        <v>8148720</v>
      </c>
      <c r="M766" s="2">
        <v>1117453</v>
      </c>
      <c r="N766" s="2">
        <v>0</v>
      </c>
      <c r="O766" s="2">
        <v>474606</v>
      </c>
      <c r="P766" t="s">
        <v>24</v>
      </c>
      <c r="Q766" t="s">
        <v>24</v>
      </c>
    </row>
    <row r="767" spans="1:17" x14ac:dyDescent="0.25">
      <c r="A767" t="s">
        <v>703</v>
      </c>
      <c r="B767" t="s">
        <v>704</v>
      </c>
      <c r="C767" s="1">
        <v>41091</v>
      </c>
      <c r="D767" s="1">
        <v>41455</v>
      </c>
      <c r="E767" t="s">
        <v>705</v>
      </c>
      <c r="G767" t="s">
        <v>77</v>
      </c>
      <c r="H767" t="s">
        <v>78</v>
      </c>
      <c r="I767" t="str">
        <f>"40202"</f>
        <v>40202</v>
      </c>
      <c r="J767" t="s">
        <v>63</v>
      </c>
      <c r="K767" t="s">
        <v>64</v>
      </c>
      <c r="L767" s="2">
        <v>8146792</v>
      </c>
      <c r="M767" s="2">
        <v>4302543</v>
      </c>
      <c r="N767" s="2">
        <v>16111</v>
      </c>
      <c r="O767" s="2">
        <v>4522465</v>
      </c>
      <c r="P767" s="2">
        <v>20071</v>
      </c>
      <c r="Q767" s="2">
        <v>0</v>
      </c>
    </row>
    <row r="768" spans="1:17" x14ac:dyDescent="0.25">
      <c r="A768" t="s">
        <v>1914</v>
      </c>
      <c r="B768" t="s">
        <v>1915</v>
      </c>
      <c r="C768" s="1">
        <v>41275</v>
      </c>
      <c r="D768" s="1">
        <v>41639</v>
      </c>
      <c r="E768" t="s">
        <v>1916</v>
      </c>
      <c r="G768" t="s">
        <v>28</v>
      </c>
      <c r="H768" t="s">
        <v>29</v>
      </c>
      <c r="I768" t="str">
        <f>"60606"</f>
        <v>60606</v>
      </c>
      <c r="J768" t="s">
        <v>22</v>
      </c>
      <c r="K768" t="s">
        <v>30</v>
      </c>
      <c r="L768" s="2">
        <v>8140488</v>
      </c>
      <c r="M768" s="2">
        <v>1394278</v>
      </c>
      <c r="N768" s="2">
        <v>0</v>
      </c>
      <c r="O768" s="2">
        <v>502673</v>
      </c>
      <c r="P768" t="s">
        <v>24</v>
      </c>
      <c r="Q768" t="s">
        <v>24</v>
      </c>
    </row>
    <row r="769" spans="1:17" x14ac:dyDescent="0.25">
      <c r="A769" t="s">
        <v>5443</v>
      </c>
      <c r="B769" t="s">
        <v>5444</v>
      </c>
      <c r="C769" s="1">
        <v>41275</v>
      </c>
      <c r="D769" s="1">
        <v>41639</v>
      </c>
      <c r="E769" t="s">
        <v>5445</v>
      </c>
      <c r="G769" t="s">
        <v>5446</v>
      </c>
      <c r="H769" t="s">
        <v>62</v>
      </c>
      <c r="I769" t="str">
        <f>"44274"</f>
        <v>44274</v>
      </c>
      <c r="J769" t="s">
        <v>22</v>
      </c>
      <c r="K769" t="s">
        <v>30</v>
      </c>
      <c r="L769" s="2">
        <v>8132559</v>
      </c>
      <c r="M769" s="2">
        <v>736944</v>
      </c>
      <c r="N769" s="2">
        <v>0</v>
      </c>
      <c r="O769" s="2">
        <v>318858</v>
      </c>
      <c r="P769" t="s">
        <v>24</v>
      </c>
      <c r="Q769" t="s">
        <v>24</v>
      </c>
    </row>
    <row r="770" spans="1:17" x14ac:dyDescent="0.25">
      <c r="A770" t="s">
        <v>1457</v>
      </c>
      <c r="B770" t="s">
        <v>1458</v>
      </c>
      <c r="C770" s="1">
        <v>41275</v>
      </c>
      <c r="D770" s="1">
        <v>41639</v>
      </c>
      <c r="E770" t="s">
        <v>1459</v>
      </c>
      <c r="G770" t="s">
        <v>258</v>
      </c>
      <c r="H770" t="s">
        <v>62</v>
      </c>
      <c r="I770" t="str">
        <f>"44505"</f>
        <v>44505</v>
      </c>
      <c r="J770" t="s">
        <v>63</v>
      </c>
      <c r="K770" t="s">
        <v>79</v>
      </c>
      <c r="L770" s="2">
        <v>8119147</v>
      </c>
      <c r="M770" s="2">
        <v>2407481</v>
      </c>
      <c r="N770" s="2">
        <v>1178706</v>
      </c>
      <c r="O770" s="2">
        <v>2183037</v>
      </c>
      <c r="P770" s="2">
        <v>92984</v>
      </c>
      <c r="Q770" s="2">
        <v>189497</v>
      </c>
    </row>
    <row r="771" spans="1:17" x14ac:dyDescent="0.25">
      <c r="A771" t="s">
        <v>7116</v>
      </c>
      <c r="B771" t="s">
        <v>7117</v>
      </c>
      <c r="C771" s="1">
        <v>41275</v>
      </c>
      <c r="D771" s="1">
        <v>41639</v>
      </c>
      <c r="E771" t="s">
        <v>7118</v>
      </c>
      <c r="G771" t="s">
        <v>77</v>
      </c>
      <c r="H771" t="s">
        <v>78</v>
      </c>
      <c r="I771" t="str">
        <f>"40202"</f>
        <v>40202</v>
      </c>
      <c r="J771" t="s">
        <v>22</v>
      </c>
      <c r="K771" t="s">
        <v>23</v>
      </c>
      <c r="L771" s="2">
        <v>8113877</v>
      </c>
      <c r="M771" s="2">
        <v>1126326</v>
      </c>
      <c r="N771" s="2">
        <v>0</v>
      </c>
      <c r="O771" s="2">
        <v>165211</v>
      </c>
      <c r="P771" t="s">
        <v>24</v>
      </c>
      <c r="Q771" t="s">
        <v>24</v>
      </c>
    </row>
    <row r="772" spans="1:17" x14ac:dyDescent="0.25">
      <c r="A772" t="s">
        <v>2913</v>
      </c>
      <c r="B772" t="s">
        <v>2914</v>
      </c>
      <c r="C772" s="1">
        <v>41275</v>
      </c>
      <c r="D772" s="1">
        <v>41639</v>
      </c>
      <c r="E772" t="s">
        <v>2915</v>
      </c>
      <c r="G772" t="s">
        <v>2916</v>
      </c>
      <c r="H772" t="s">
        <v>42</v>
      </c>
      <c r="I772" t="str">
        <f>"54235"</f>
        <v>54235</v>
      </c>
      <c r="J772" t="s">
        <v>22</v>
      </c>
      <c r="K772" t="s">
        <v>23</v>
      </c>
      <c r="L772" s="2">
        <v>8098691</v>
      </c>
      <c r="M772" s="2">
        <v>1938980</v>
      </c>
      <c r="N772" s="2">
        <v>0</v>
      </c>
      <c r="O772" s="2">
        <v>379087</v>
      </c>
      <c r="P772" t="s">
        <v>24</v>
      </c>
      <c r="Q772" t="s">
        <v>24</v>
      </c>
    </row>
    <row r="773" spans="1:17" x14ac:dyDescent="0.25">
      <c r="A773" t="s">
        <v>3333</v>
      </c>
      <c r="B773" t="s">
        <v>3334</v>
      </c>
      <c r="C773" s="1">
        <v>41275</v>
      </c>
      <c r="D773" s="1">
        <v>41639</v>
      </c>
      <c r="E773" t="s">
        <v>3335</v>
      </c>
      <c r="G773" t="s">
        <v>416</v>
      </c>
      <c r="H773" t="s">
        <v>29</v>
      </c>
      <c r="I773" t="str">
        <f>"60067"</f>
        <v>60067</v>
      </c>
      <c r="J773" t="s">
        <v>22</v>
      </c>
      <c r="K773" t="s">
        <v>30</v>
      </c>
      <c r="L773" s="2">
        <v>8076886</v>
      </c>
      <c r="M773" s="2">
        <v>5090466</v>
      </c>
      <c r="N773" s="2">
        <v>0</v>
      </c>
      <c r="O773" s="2">
        <v>420074</v>
      </c>
      <c r="P773" t="s">
        <v>24</v>
      </c>
      <c r="Q773" t="s">
        <v>24</v>
      </c>
    </row>
    <row r="774" spans="1:17" x14ac:dyDescent="0.25">
      <c r="A774" t="s">
        <v>6607</v>
      </c>
      <c r="B774" t="s">
        <v>6608</v>
      </c>
      <c r="C774" s="1">
        <v>41091</v>
      </c>
      <c r="D774" s="1">
        <v>41455</v>
      </c>
      <c r="E774" t="s">
        <v>6609</v>
      </c>
      <c r="G774" t="s">
        <v>1339</v>
      </c>
      <c r="H774" t="s">
        <v>47</v>
      </c>
      <c r="I774" t="str">
        <f>"48084"</f>
        <v>48084</v>
      </c>
      <c r="J774" t="s">
        <v>22</v>
      </c>
      <c r="K774" t="s">
        <v>23</v>
      </c>
      <c r="L774" s="2">
        <v>8038306</v>
      </c>
      <c r="M774" s="2">
        <v>4425009</v>
      </c>
      <c r="N774" s="2">
        <v>185560</v>
      </c>
      <c r="O774" s="2">
        <v>520169</v>
      </c>
      <c r="P774" t="s">
        <v>24</v>
      </c>
      <c r="Q774" t="s">
        <v>24</v>
      </c>
    </row>
    <row r="775" spans="1:17" x14ac:dyDescent="0.25">
      <c r="A775" t="s">
        <v>7244</v>
      </c>
      <c r="B775" t="s">
        <v>7245</v>
      </c>
      <c r="C775" s="1">
        <v>41183</v>
      </c>
      <c r="D775" s="1">
        <v>41547</v>
      </c>
      <c r="E775" t="s">
        <v>7246</v>
      </c>
      <c r="G775" t="s">
        <v>1508</v>
      </c>
      <c r="H775" t="s">
        <v>42</v>
      </c>
      <c r="I775" t="str">
        <f>"53072"</f>
        <v>53072</v>
      </c>
      <c r="J775" t="s">
        <v>22</v>
      </c>
      <c r="K775" t="s">
        <v>23</v>
      </c>
      <c r="L775" s="2">
        <v>8003817</v>
      </c>
      <c r="M775" s="2">
        <v>8003917</v>
      </c>
      <c r="N775" s="2">
        <v>0</v>
      </c>
      <c r="O775" s="2">
        <v>100</v>
      </c>
      <c r="P775" t="s">
        <v>24</v>
      </c>
      <c r="Q775" t="s">
        <v>24</v>
      </c>
    </row>
    <row r="776" spans="1:17" x14ac:dyDescent="0.25">
      <c r="A776" t="s">
        <v>2593</v>
      </c>
      <c r="B776" t="s">
        <v>2594</v>
      </c>
      <c r="C776" s="1">
        <v>41275</v>
      </c>
      <c r="D776" s="1">
        <v>41639</v>
      </c>
      <c r="E776" t="s">
        <v>104</v>
      </c>
      <c r="G776" t="s">
        <v>28</v>
      </c>
      <c r="H776" t="s">
        <v>29</v>
      </c>
      <c r="I776" t="str">
        <f>"60680"</f>
        <v>60680</v>
      </c>
      <c r="J776" t="s">
        <v>22</v>
      </c>
      <c r="K776" t="s">
        <v>23</v>
      </c>
      <c r="L776" s="2">
        <v>7985921</v>
      </c>
      <c r="M776" s="2">
        <v>2375987</v>
      </c>
      <c r="N776" s="2">
        <v>0</v>
      </c>
      <c r="O776" s="2">
        <v>366616</v>
      </c>
      <c r="P776" t="s">
        <v>24</v>
      </c>
      <c r="Q776" t="s">
        <v>24</v>
      </c>
    </row>
    <row r="777" spans="1:17" x14ac:dyDescent="0.25">
      <c r="A777" t="s">
        <v>188</v>
      </c>
      <c r="B777" t="s">
        <v>189</v>
      </c>
      <c r="C777" s="1">
        <v>41456</v>
      </c>
      <c r="D777" s="1">
        <v>41820</v>
      </c>
      <c r="E777" t="s">
        <v>190</v>
      </c>
      <c r="G777" t="s">
        <v>191</v>
      </c>
      <c r="H777" t="s">
        <v>62</v>
      </c>
      <c r="I777" t="str">
        <f>"44718"</f>
        <v>44718</v>
      </c>
      <c r="J777" t="s">
        <v>22</v>
      </c>
      <c r="K777" t="s">
        <v>64</v>
      </c>
      <c r="L777" s="2">
        <v>7984755</v>
      </c>
      <c r="M777" s="2">
        <v>2298758</v>
      </c>
      <c r="N777" s="2">
        <v>94566</v>
      </c>
      <c r="O777" s="2">
        <v>684501</v>
      </c>
      <c r="P777" t="s">
        <v>24</v>
      </c>
      <c r="Q777" t="s">
        <v>24</v>
      </c>
    </row>
    <row r="778" spans="1:17" x14ac:dyDescent="0.25">
      <c r="A778" t="s">
        <v>1043</v>
      </c>
      <c r="B778" t="s">
        <v>1044</v>
      </c>
      <c r="C778" s="1">
        <v>41275</v>
      </c>
      <c r="D778" s="1">
        <v>41639</v>
      </c>
      <c r="E778" t="s">
        <v>1045</v>
      </c>
      <c r="G778" t="s">
        <v>1046</v>
      </c>
      <c r="H778" t="s">
        <v>47</v>
      </c>
      <c r="I778" t="str">
        <f>"49740"</f>
        <v>49740</v>
      </c>
      <c r="J778" t="s">
        <v>22</v>
      </c>
      <c r="K778" t="s">
        <v>23</v>
      </c>
      <c r="L778" s="2">
        <v>7982863</v>
      </c>
      <c r="M778" s="2">
        <v>660706</v>
      </c>
      <c r="N778" s="2">
        <v>0</v>
      </c>
      <c r="O778" s="2">
        <v>383595</v>
      </c>
      <c r="P778" t="s">
        <v>24</v>
      </c>
      <c r="Q778" t="s">
        <v>24</v>
      </c>
    </row>
    <row r="779" spans="1:17" x14ac:dyDescent="0.25">
      <c r="A779" t="s">
        <v>4805</v>
      </c>
      <c r="B779" t="s">
        <v>4806</v>
      </c>
      <c r="C779" s="1">
        <v>41275</v>
      </c>
      <c r="D779" s="1">
        <v>41639</v>
      </c>
      <c r="E779" t="s">
        <v>4807</v>
      </c>
      <c r="G779" t="s">
        <v>139</v>
      </c>
      <c r="H779" t="s">
        <v>47</v>
      </c>
      <c r="I779" t="str">
        <f>"49503"</f>
        <v>49503</v>
      </c>
      <c r="J779" t="s">
        <v>22</v>
      </c>
      <c r="K779" t="s">
        <v>23</v>
      </c>
      <c r="L779" s="2">
        <v>7978728</v>
      </c>
      <c r="M779" s="2">
        <v>9710234</v>
      </c>
      <c r="N779" s="2">
        <v>0</v>
      </c>
      <c r="O779" s="2">
        <v>3094603</v>
      </c>
      <c r="P779" t="s">
        <v>24</v>
      </c>
      <c r="Q779" t="s">
        <v>24</v>
      </c>
    </row>
    <row r="780" spans="1:17" x14ac:dyDescent="0.25">
      <c r="A780" t="s">
        <v>6920</v>
      </c>
      <c r="B780" t="s">
        <v>6921</v>
      </c>
      <c r="C780" s="1">
        <v>41214</v>
      </c>
      <c r="D780" s="1">
        <v>41578</v>
      </c>
      <c r="E780" t="s">
        <v>6922</v>
      </c>
      <c r="G780" t="s">
        <v>2799</v>
      </c>
      <c r="H780" t="s">
        <v>29</v>
      </c>
      <c r="I780" t="str">
        <f>"60091"</f>
        <v>60091</v>
      </c>
      <c r="J780" t="s">
        <v>22</v>
      </c>
      <c r="K780" t="s">
        <v>30</v>
      </c>
      <c r="L780" s="2">
        <v>7971204</v>
      </c>
      <c r="M780" s="2">
        <v>6781440</v>
      </c>
      <c r="N780" s="2">
        <v>0</v>
      </c>
      <c r="O780" s="2">
        <v>428796</v>
      </c>
      <c r="P780" t="s">
        <v>24</v>
      </c>
      <c r="Q780" t="s">
        <v>24</v>
      </c>
    </row>
    <row r="781" spans="1:17" x14ac:dyDescent="0.25">
      <c r="A781" t="s">
        <v>3314</v>
      </c>
      <c r="B781" t="s">
        <v>3315</v>
      </c>
      <c r="C781" s="1">
        <v>41275</v>
      </c>
      <c r="D781" s="1">
        <v>41639</v>
      </c>
      <c r="E781" t="s">
        <v>104</v>
      </c>
      <c r="G781" t="s">
        <v>28</v>
      </c>
      <c r="H781" t="s">
        <v>29</v>
      </c>
      <c r="I781" t="str">
        <f>"60680"</f>
        <v>60680</v>
      </c>
      <c r="J781" t="s">
        <v>22</v>
      </c>
      <c r="K781" t="s">
        <v>23</v>
      </c>
      <c r="L781" s="2">
        <v>7939078</v>
      </c>
      <c r="M781" s="2">
        <v>2635560</v>
      </c>
      <c r="N781" s="2">
        <v>0</v>
      </c>
      <c r="O781" s="2">
        <v>485387</v>
      </c>
      <c r="P781" t="s">
        <v>24</v>
      </c>
      <c r="Q781" t="s">
        <v>24</v>
      </c>
    </row>
    <row r="782" spans="1:17" x14ac:dyDescent="0.25">
      <c r="A782" t="s">
        <v>7728</v>
      </c>
      <c r="B782" t="s">
        <v>7729</v>
      </c>
      <c r="C782" s="1">
        <v>41275</v>
      </c>
      <c r="D782" s="1">
        <v>41639</v>
      </c>
      <c r="E782" t="s">
        <v>7730</v>
      </c>
      <c r="G782" t="s">
        <v>1809</v>
      </c>
      <c r="H782" t="s">
        <v>29</v>
      </c>
      <c r="I782" t="str">
        <f>"60045"</f>
        <v>60045</v>
      </c>
      <c r="J782" t="s">
        <v>22</v>
      </c>
      <c r="K782" t="s">
        <v>23</v>
      </c>
      <c r="L782" s="2">
        <v>7932005</v>
      </c>
      <c r="M782" s="2">
        <v>2841952</v>
      </c>
      <c r="N782" s="2">
        <v>0</v>
      </c>
      <c r="O782" s="2">
        <v>570936</v>
      </c>
      <c r="P782" t="s">
        <v>24</v>
      </c>
      <c r="Q782" t="s">
        <v>24</v>
      </c>
    </row>
    <row r="783" spans="1:17" x14ac:dyDescent="0.25">
      <c r="A783" t="s">
        <v>2881</v>
      </c>
      <c r="B783" t="s">
        <v>2882</v>
      </c>
      <c r="C783" s="1">
        <v>40909</v>
      </c>
      <c r="D783" s="1">
        <v>41274</v>
      </c>
      <c r="E783" t="s">
        <v>2883</v>
      </c>
      <c r="G783" t="s">
        <v>77</v>
      </c>
      <c r="H783" t="s">
        <v>78</v>
      </c>
      <c r="I783" t="str">
        <f>"40243"</f>
        <v>40243</v>
      </c>
      <c r="J783" t="s">
        <v>22</v>
      </c>
      <c r="K783" t="s">
        <v>23</v>
      </c>
      <c r="L783" s="2">
        <v>7925244</v>
      </c>
      <c r="M783" s="2">
        <v>14061964</v>
      </c>
      <c r="N783" s="2">
        <v>0</v>
      </c>
      <c r="O783" s="2">
        <v>466041</v>
      </c>
      <c r="P783" t="s">
        <v>24</v>
      </c>
      <c r="Q783" t="s">
        <v>24</v>
      </c>
    </row>
    <row r="784" spans="1:17" ht="60" x14ac:dyDescent="0.25">
      <c r="A784" t="s">
        <v>105</v>
      </c>
      <c r="B784" t="s">
        <v>106</v>
      </c>
      <c r="C784" s="1">
        <v>41275</v>
      </c>
      <c r="D784" s="1">
        <v>41639</v>
      </c>
      <c r="E784" t="s">
        <v>107</v>
      </c>
      <c r="G784" t="s">
        <v>108</v>
      </c>
      <c r="H784" t="s">
        <v>29</v>
      </c>
      <c r="I784" t="str">
        <f>"60018"</f>
        <v>60018</v>
      </c>
      <c r="J784" s="4" t="s">
        <v>109</v>
      </c>
      <c r="K784" t="s">
        <v>23</v>
      </c>
      <c r="L784" s="2">
        <v>7889551</v>
      </c>
      <c r="M784" s="2">
        <v>11535686</v>
      </c>
      <c r="N784" s="2">
        <v>295945</v>
      </c>
      <c r="O784" s="2">
        <v>7054423</v>
      </c>
      <c r="P784" t="s">
        <v>24</v>
      </c>
      <c r="Q784" t="s">
        <v>24</v>
      </c>
    </row>
    <row r="785" spans="1:17" x14ac:dyDescent="0.25">
      <c r="A785" t="s">
        <v>7541</v>
      </c>
      <c r="B785" t="s">
        <v>7542</v>
      </c>
      <c r="C785" s="1">
        <v>41275</v>
      </c>
      <c r="D785" s="1">
        <v>41639</v>
      </c>
      <c r="E785" t="s">
        <v>7543</v>
      </c>
      <c r="G785" t="s">
        <v>7544</v>
      </c>
      <c r="H785" t="s">
        <v>21</v>
      </c>
      <c r="I785" t="str">
        <f>"46996"</f>
        <v>46996</v>
      </c>
      <c r="J785" t="s">
        <v>63</v>
      </c>
      <c r="K785" t="s">
        <v>64</v>
      </c>
      <c r="L785" s="2">
        <v>7888691</v>
      </c>
      <c r="M785" s="2">
        <v>1009851</v>
      </c>
      <c r="N785" s="2">
        <v>575239</v>
      </c>
      <c r="O785" s="2">
        <v>513244</v>
      </c>
      <c r="P785" s="2">
        <v>173796</v>
      </c>
      <c r="Q785" s="2">
        <v>24318</v>
      </c>
    </row>
    <row r="786" spans="1:17" x14ac:dyDescent="0.25">
      <c r="A786" t="s">
        <v>2397</v>
      </c>
      <c r="B786" t="s">
        <v>2398</v>
      </c>
      <c r="C786" s="1">
        <v>41275</v>
      </c>
      <c r="D786" s="1">
        <v>41639</v>
      </c>
      <c r="E786" t="s">
        <v>2399</v>
      </c>
      <c r="G786" t="s">
        <v>783</v>
      </c>
      <c r="H786" t="s">
        <v>21</v>
      </c>
      <c r="I786" t="str">
        <f>"46032"</f>
        <v>46032</v>
      </c>
      <c r="J786" t="s">
        <v>22</v>
      </c>
      <c r="K786" t="s">
        <v>23</v>
      </c>
      <c r="L786" s="2">
        <v>7882606</v>
      </c>
      <c r="M786" s="2">
        <v>1846272</v>
      </c>
      <c r="N786" s="2">
        <v>163500</v>
      </c>
      <c r="O786" s="2">
        <v>490803</v>
      </c>
      <c r="P786" t="s">
        <v>24</v>
      </c>
      <c r="Q786" t="s">
        <v>24</v>
      </c>
    </row>
    <row r="787" spans="1:17" x14ac:dyDescent="0.25">
      <c r="A787" t="s">
        <v>7569</v>
      </c>
      <c r="B787" t="s">
        <v>7570</v>
      </c>
      <c r="C787" s="1">
        <v>41275</v>
      </c>
      <c r="D787" s="1">
        <v>41639</v>
      </c>
      <c r="E787" t="s">
        <v>7571</v>
      </c>
      <c r="G787" t="s">
        <v>2230</v>
      </c>
      <c r="H787" t="s">
        <v>21</v>
      </c>
      <c r="I787" t="str">
        <f>"47308"</f>
        <v>47308</v>
      </c>
      <c r="J787" t="s">
        <v>22</v>
      </c>
      <c r="K787" t="s">
        <v>30</v>
      </c>
      <c r="L787" s="2">
        <v>7859724</v>
      </c>
      <c r="M787" s="2">
        <v>9049321</v>
      </c>
      <c r="N787" s="2">
        <v>15000</v>
      </c>
      <c r="O787" s="2">
        <v>366419</v>
      </c>
      <c r="P787" t="s">
        <v>24</v>
      </c>
      <c r="Q787" t="s">
        <v>24</v>
      </c>
    </row>
    <row r="788" spans="1:17" x14ac:dyDescent="0.25">
      <c r="A788" t="s">
        <v>5975</v>
      </c>
      <c r="B788" t="s">
        <v>5976</v>
      </c>
      <c r="C788" s="1">
        <v>41275</v>
      </c>
      <c r="D788" s="1">
        <v>41639</v>
      </c>
      <c r="E788" t="s">
        <v>5977</v>
      </c>
      <c r="G788" t="s">
        <v>2164</v>
      </c>
      <c r="H788" t="s">
        <v>62</v>
      </c>
      <c r="I788" t="str">
        <f>"44646"</f>
        <v>44646</v>
      </c>
      <c r="J788" t="s">
        <v>22</v>
      </c>
      <c r="K788" t="s">
        <v>23</v>
      </c>
      <c r="L788" s="2">
        <v>7833779</v>
      </c>
      <c r="M788" s="2">
        <v>3711279</v>
      </c>
      <c r="N788" s="2">
        <v>0</v>
      </c>
      <c r="O788" s="2">
        <v>403101</v>
      </c>
      <c r="P788" t="s">
        <v>24</v>
      </c>
      <c r="Q788" t="s">
        <v>24</v>
      </c>
    </row>
    <row r="789" spans="1:17" x14ac:dyDescent="0.25">
      <c r="A789" t="s">
        <v>5337</v>
      </c>
      <c r="B789" t="s">
        <v>5338</v>
      </c>
      <c r="C789" s="1">
        <v>41275</v>
      </c>
      <c r="D789" s="1">
        <v>41639</v>
      </c>
      <c r="E789" t="s">
        <v>5339</v>
      </c>
      <c r="G789" t="s">
        <v>28</v>
      </c>
      <c r="H789" t="s">
        <v>29</v>
      </c>
      <c r="I789" t="str">
        <f>"60654"</f>
        <v>60654</v>
      </c>
      <c r="J789" t="s">
        <v>22</v>
      </c>
      <c r="K789" t="s">
        <v>23</v>
      </c>
      <c r="L789" s="2">
        <v>7827177</v>
      </c>
      <c r="M789" s="2">
        <v>8381469</v>
      </c>
      <c r="N789" s="2">
        <v>0</v>
      </c>
      <c r="O789" s="2">
        <v>301584</v>
      </c>
      <c r="P789" t="s">
        <v>24</v>
      </c>
      <c r="Q789" t="s">
        <v>24</v>
      </c>
    </row>
    <row r="790" spans="1:17" x14ac:dyDescent="0.25">
      <c r="A790" t="s">
        <v>2610</v>
      </c>
      <c r="B790" t="s">
        <v>2611</v>
      </c>
      <c r="C790" s="1">
        <v>41275</v>
      </c>
      <c r="D790" s="1">
        <v>41639</v>
      </c>
      <c r="E790" t="s">
        <v>2612</v>
      </c>
      <c r="G790" t="s">
        <v>371</v>
      </c>
      <c r="H790" t="s">
        <v>29</v>
      </c>
      <c r="I790" t="str">
        <f>"60062"</f>
        <v>60062</v>
      </c>
      <c r="J790" t="s">
        <v>22</v>
      </c>
      <c r="K790" t="s">
        <v>30</v>
      </c>
      <c r="L790" s="2">
        <v>7810725</v>
      </c>
      <c r="M790" s="2">
        <v>480100</v>
      </c>
      <c r="N790" s="2">
        <v>0</v>
      </c>
      <c r="O790" s="2">
        <v>370749</v>
      </c>
      <c r="P790" t="s">
        <v>24</v>
      </c>
      <c r="Q790" t="s">
        <v>24</v>
      </c>
    </row>
    <row r="791" spans="1:17" x14ac:dyDescent="0.25">
      <c r="A791" t="s">
        <v>6023</v>
      </c>
      <c r="B791" t="s">
        <v>6024</v>
      </c>
      <c r="C791" s="1">
        <v>41275</v>
      </c>
      <c r="D791" s="1">
        <v>41639</v>
      </c>
      <c r="E791" t="s">
        <v>6025</v>
      </c>
      <c r="G791" t="s">
        <v>6026</v>
      </c>
      <c r="H791" t="s">
        <v>47</v>
      </c>
      <c r="I791" t="str">
        <f>"49858"</f>
        <v>49858</v>
      </c>
      <c r="J791" t="s">
        <v>63</v>
      </c>
      <c r="K791" t="s">
        <v>64</v>
      </c>
      <c r="L791" s="2">
        <v>7810546</v>
      </c>
      <c r="M791" s="2">
        <v>991804</v>
      </c>
      <c r="N791" s="2">
        <v>322991</v>
      </c>
      <c r="O791" s="2">
        <v>570252</v>
      </c>
      <c r="P791" s="2">
        <v>41207</v>
      </c>
      <c r="Q791" s="2">
        <v>9783</v>
      </c>
    </row>
    <row r="792" spans="1:17" x14ac:dyDescent="0.25">
      <c r="A792" t="s">
        <v>1622</v>
      </c>
      <c r="B792" t="s">
        <v>1623</v>
      </c>
      <c r="C792" s="1">
        <v>41275</v>
      </c>
      <c r="D792" s="1">
        <v>41639</v>
      </c>
      <c r="E792" t="s">
        <v>1624</v>
      </c>
      <c r="G792" t="s">
        <v>1625</v>
      </c>
      <c r="H792" t="s">
        <v>42</v>
      </c>
      <c r="I792" t="str">
        <f>"53045"</f>
        <v>53045</v>
      </c>
      <c r="J792" t="s">
        <v>22</v>
      </c>
      <c r="K792" t="s">
        <v>23</v>
      </c>
      <c r="L792" s="2">
        <v>7804217</v>
      </c>
      <c r="M792" s="2">
        <v>2914238</v>
      </c>
      <c r="N792" s="2">
        <v>0</v>
      </c>
      <c r="O792" s="2">
        <v>429316</v>
      </c>
      <c r="P792" t="s">
        <v>24</v>
      </c>
      <c r="Q792" t="s">
        <v>24</v>
      </c>
    </row>
    <row r="793" spans="1:17" x14ac:dyDescent="0.25">
      <c r="A793" t="s">
        <v>7003</v>
      </c>
      <c r="B793" t="s">
        <v>7004</v>
      </c>
      <c r="C793" s="1">
        <v>41275</v>
      </c>
      <c r="D793" s="1">
        <v>41639</v>
      </c>
      <c r="E793" t="s">
        <v>7005</v>
      </c>
      <c r="G793" t="s">
        <v>2852</v>
      </c>
      <c r="H793" t="s">
        <v>29</v>
      </c>
      <c r="I793" t="str">
        <f>"61201"</f>
        <v>61201</v>
      </c>
      <c r="J793" t="s">
        <v>22</v>
      </c>
      <c r="K793" t="s">
        <v>23</v>
      </c>
      <c r="L793" s="2">
        <v>7803487</v>
      </c>
      <c r="M793" s="2">
        <v>2256521</v>
      </c>
      <c r="N793" s="2">
        <v>0</v>
      </c>
      <c r="O793" s="2">
        <v>784260</v>
      </c>
      <c r="P793" t="s">
        <v>24</v>
      </c>
      <c r="Q793" t="s">
        <v>24</v>
      </c>
    </row>
    <row r="794" spans="1:17" x14ac:dyDescent="0.25">
      <c r="A794" t="s">
        <v>6966</v>
      </c>
      <c r="B794" t="s">
        <v>6967</v>
      </c>
      <c r="C794" s="1">
        <v>41275</v>
      </c>
      <c r="D794" s="1">
        <v>41639</v>
      </c>
      <c r="E794" t="s">
        <v>6968</v>
      </c>
      <c r="G794" t="s">
        <v>6969</v>
      </c>
      <c r="H794" t="s">
        <v>47</v>
      </c>
      <c r="I794" t="str">
        <f>"48307"</f>
        <v>48307</v>
      </c>
      <c r="J794" t="s">
        <v>63</v>
      </c>
      <c r="K794" t="s">
        <v>64</v>
      </c>
      <c r="L794" s="2">
        <v>7796502</v>
      </c>
      <c r="M794" s="2">
        <v>1066432</v>
      </c>
      <c r="N794" s="2">
        <v>23170</v>
      </c>
      <c r="O794" s="2">
        <v>928483</v>
      </c>
      <c r="P794" s="2">
        <v>79659</v>
      </c>
      <c r="Q794" s="2">
        <v>39834</v>
      </c>
    </row>
    <row r="795" spans="1:17" x14ac:dyDescent="0.25">
      <c r="A795" t="s">
        <v>6465</v>
      </c>
      <c r="B795" t="s">
        <v>6466</v>
      </c>
      <c r="C795" s="1">
        <v>40909</v>
      </c>
      <c r="D795" s="1">
        <v>41274</v>
      </c>
      <c r="E795" t="s">
        <v>6467</v>
      </c>
      <c r="G795" t="s">
        <v>1172</v>
      </c>
      <c r="H795" t="s">
        <v>42</v>
      </c>
      <c r="I795" t="str">
        <f>"53547"</f>
        <v>53547</v>
      </c>
      <c r="J795" t="s">
        <v>22</v>
      </c>
      <c r="K795" t="s">
        <v>91</v>
      </c>
      <c r="L795" s="2">
        <v>7783459</v>
      </c>
      <c r="M795" s="2">
        <v>2609558</v>
      </c>
      <c r="N795" s="2">
        <v>105374</v>
      </c>
      <c r="O795" s="2">
        <v>473960</v>
      </c>
      <c r="P795" t="s">
        <v>24</v>
      </c>
      <c r="Q795" t="s">
        <v>24</v>
      </c>
    </row>
    <row r="796" spans="1:17" x14ac:dyDescent="0.25">
      <c r="A796" t="s">
        <v>2741</v>
      </c>
      <c r="B796" t="s">
        <v>2742</v>
      </c>
      <c r="C796" s="1">
        <v>41365</v>
      </c>
      <c r="D796" s="1">
        <v>41729</v>
      </c>
      <c r="E796" t="s">
        <v>2743</v>
      </c>
      <c r="G796" t="s">
        <v>2744</v>
      </c>
      <c r="H796" t="s">
        <v>29</v>
      </c>
      <c r="I796" t="str">
        <f>"61473"</f>
        <v>61473</v>
      </c>
      <c r="J796" t="s">
        <v>22</v>
      </c>
      <c r="K796" t="s">
        <v>30</v>
      </c>
      <c r="L796" s="2">
        <v>7777716</v>
      </c>
      <c r="M796" s="2">
        <v>6983497</v>
      </c>
      <c r="N796" s="2">
        <v>0</v>
      </c>
      <c r="O796" s="2">
        <v>417312</v>
      </c>
      <c r="P796" t="s">
        <v>24</v>
      </c>
      <c r="Q796" t="s">
        <v>24</v>
      </c>
    </row>
    <row r="797" spans="1:17" x14ac:dyDescent="0.25">
      <c r="A797" t="s">
        <v>649</v>
      </c>
      <c r="B797" t="s">
        <v>650</v>
      </c>
      <c r="C797" s="1">
        <v>41275</v>
      </c>
      <c r="D797" s="1">
        <v>41639</v>
      </c>
      <c r="E797" t="s">
        <v>651</v>
      </c>
      <c r="G797" t="s">
        <v>364</v>
      </c>
      <c r="H797" t="s">
        <v>21</v>
      </c>
      <c r="I797" t="str">
        <f>"47710"</f>
        <v>47710</v>
      </c>
      <c r="J797" t="s">
        <v>22</v>
      </c>
      <c r="K797" t="s">
        <v>23</v>
      </c>
      <c r="L797" s="2">
        <v>7774612</v>
      </c>
      <c r="M797" s="2">
        <v>2326739</v>
      </c>
      <c r="N797" s="2">
        <v>0</v>
      </c>
      <c r="O797" s="2">
        <v>226387</v>
      </c>
      <c r="P797" t="s">
        <v>24</v>
      </c>
      <c r="Q797" t="s">
        <v>24</v>
      </c>
    </row>
    <row r="798" spans="1:17" x14ac:dyDescent="0.25">
      <c r="A798" t="s">
        <v>4378</v>
      </c>
      <c r="B798" t="s">
        <v>4379</v>
      </c>
      <c r="C798" s="1">
        <v>40909</v>
      </c>
      <c r="D798" s="1">
        <v>41274</v>
      </c>
      <c r="E798" t="s">
        <v>668</v>
      </c>
      <c r="G798" t="s">
        <v>28</v>
      </c>
      <c r="H798" t="s">
        <v>29</v>
      </c>
      <c r="I798" t="str">
        <f>"60606"</f>
        <v>60606</v>
      </c>
      <c r="J798" t="s">
        <v>22</v>
      </c>
      <c r="K798" t="s">
        <v>30</v>
      </c>
      <c r="L798" s="2">
        <v>7767729</v>
      </c>
      <c r="M798" s="2">
        <v>3057382</v>
      </c>
      <c r="N798" s="2">
        <v>0</v>
      </c>
      <c r="O798" s="2">
        <v>483744</v>
      </c>
      <c r="P798" t="s">
        <v>24</v>
      </c>
      <c r="Q798" t="s">
        <v>24</v>
      </c>
    </row>
    <row r="799" spans="1:17" x14ac:dyDescent="0.25">
      <c r="A799" t="s">
        <v>5133</v>
      </c>
      <c r="B799" t="s">
        <v>5134</v>
      </c>
      <c r="C799" s="1">
        <v>41275</v>
      </c>
      <c r="D799" s="1">
        <v>41639</v>
      </c>
      <c r="E799" t="s">
        <v>5135</v>
      </c>
      <c r="G799" t="s">
        <v>28</v>
      </c>
      <c r="H799" t="s">
        <v>29</v>
      </c>
      <c r="I799" t="str">
        <f>"60654"</f>
        <v>60654</v>
      </c>
      <c r="J799" t="s">
        <v>22</v>
      </c>
      <c r="K799" t="s">
        <v>79</v>
      </c>
      <c r="L799" s="2">
        <v>7709516</v>
      </c>
      <c r="M799" s="2">
        <v>1743707</v>
      </c>
      <c r="N799" s="2">
        <v>7832</v>
      </c>
      <c r="O799" s="2">
        <v>419973</v>
      </c>
      <c r="P799" t="s">
        <v>24</v>
      </c>
      <c r="Q799" t="s">
        <v>24</v>
      </c>
    </row>
    <row r="800" spans="1:17" x14ac:dyDescent="0.25">
      <c r="A800" t="s">
        <v>7265</v>
      </c>
      <c r="B800" t="s">
        <v>7266</v>
      </c>
      <c r="C800" s="1">
        <v>41275</v>
      </c>
      <c r="D800" s="1">
        <v>41639</v>
      </c>
      <c r="E800" t="s">
        <v>5732</v>
      </c>
      <c r="G800" t="s">
        <v>119</v>
      </c>
      <c r="H800" t="s">
        <v>29</v>
      </c>
      <c r="I800" t="str">
        <f>"60089"</f>
        <v>60089</v>
      </c>
      <c r="J800" t="s">
        <v>22</v>
      </c>
      <c r="K800" t="s">
        <v>23</v>
      </c>
      <c r="L800" s="2">
        <v>7697118</v>
      </c>
      <c r="M800" s="2">
        <v>2131075</v>
      </c>
      <c r="N800" s="2">
        <v>516326</v>
      </c>
      <c r="O800" s="2">
        <v>489967</v>
      </c>
      <c r="P800" t="s">
        <v>24</v>
      </c>
      <c r="Q800" t="s">
        <v>24</v>
      </c>
    </row>
    <row r="801" spans="1:17" x14ac:dyDescent="0.25">
      <c r="A801" t="s">
        <v>1273</v>
      </c>
      <c r="B801" t="s">
        <v>1274</v>
      </c>
      <c r="C801" s="1">
        <v>40909</v>
      </c>
      <c r="D801" s="1">
        <v>41274</v>
      </c>
      <c r="E801" t="s">
        <v>1275</v>
      </c>
      <c r="G801" t="s">
        <v>28</v>
      </c>
      <c r="H801" t="s">
        <v>29</v>
      </c>
      <c r="I801" t="str">
        <f>"60654"</f>
        <v>60654</v>
      </c>
      <c r="J801" t="s">
        <v>22</v>
      </c>
      <c r="K801" t="s">
        <v>23</v>
      </c>
      <c r="L801" s="2">
        <v>7692792</v>
      </c>
      <c r="M801" s="2">
        <v>2822101</v>
      </c>
      <c r="N801" s="2">
        <v>0</v>
      </c>
      <c r="O801" s="2">
        <v>475428</v>
      </c>
      <c r="P801" t="s">
        <v>24</v>
      </c>
      <c r="Q801" t="s">
        <v>24</v>
      </c>
    </row>
    <row r="802" spans="1:17" x14ac:dyDescent="0.25">
      <c r="A802" t="s">
        <v>6478</v>
      </c>
      <c r="B802" t="s">
        <v>6479</v>
      </c>
      <c r="C802" s="1">
        <v>41275</v>
      </c>
      <c r="D802" s="1">
        <v>41639</v>
      </c>
      <c r="E802" t="s">
        <v>6480</v>
      </c>
      <c r="G802" t="s">
        <v>28</v>
      </c>
      <c r="H802" t="s">
        <v>29</v>
      </c>
      <c r="I802" t="str">
        <f>"60690"</f>
        <v>60690</v>
      </c>
      <c r="J802" t="s">
        <v>22</v>
      </c>
      <c r="K802" t="s">
        <v>23</v>
      </c>
      <c r="L802" s="2">
        <v>7689199</v>
      </c>
      <c r="M802" s="2">
        <v>5923465</v>
      </c>
      <c r="N802" s="2">
        <v>0</v>
      </c>
      <c r="O802" s="2">
        <v>256614</v>
      </c>
      <c r="P802" t="s">
        <v>24</v>
      </c>
      <c r="Q802" t="s">
        <v>24</v>
      </c>
    </row>
    <row r="803" spans="1:17" x14ac:dyDescent="0.25">
      <c r="A803" t="s">
        <v>6915</v>
      </c>
      <c r="B803" t="s">
        <v>6916</v>
      </c>
      <c r="C803" s="1">
        <v>41183</v>
      </c>
      <c r="D803" s="1">
        <v>41547</v>
      </c>
      <c r="E803" t="s">
        <v>1942</v>
      </c>
      <c r="G803" t="s">
        <v>41</v>
      </c>
      <c r="H803" t="s">
        <v>42</v>
      </c>
      <c r="I803" t="str">
        <f>"53201"</f>
        <v>53201</v>
      </c>
      <c r="J803" t="s">
        <v>22</v>
      </c>
      <c r="K803" t="s">
        <v>91</v>
      </c>
      <c r="L803" s="2">
        <v>7651720</v>
      </c>
      <c r="M803" s="2">
        <v>5500905</v>
      </c>
      <c r="N803" s="2">
        <v>0</v>
      </c>
      <c r="O803" s="2">
        <v>5706247</v>
      </c>
      <c r="P803" t="s">
        <v>24</v>
      </c>
      <c r="Q803" t="s">
        <v>24</v>
      </c>
    </row>
    <row r="804" spans="1:17" x14ac:dyDescent="0.25">
      <c r="A804" t="s">
        <v>5387</v>
      </c>
      <c r="B804" t="s">
        <v>5388</v>
      </c>
      <c r="C804" s="1">
        <v>41275</v>
      </c>
      <c r="D804" s="1">
        <v>41639</v>
      </c>
      <c r="E804" t="s">
        <v>5389</v>
      </c>
      <c r="G804" t="s">
        <v>2609</v>
      </c>
      <c r="H804" t="s">
        <v>62</v>
      </c>
      <c r="I804" t="str">
        <f>"43040"</f>
        <v>43040</v>
      </c>
      <c r="J804" t="s">
        <v>63</v>
      </c>
      <c r="K804" t="s">
        <v>64</v>
      </c>
      <c r="L804" s="2">
        <v>7630805</v>
      </c>
      <c r="M804" s="2">
        <v>610101</v>
      </c>
      <c r="N804" s="2">
        <v>189175</v>
      </c>
      <c r="O804" s="2">
        <v>640306</v>
      </c>
      <c r="P804" s="2">
        <v>94906</v>
      </c>
      <c r="Q804" s="2">
        <v>8748</v>
      </c>
    </row>
    <row r="805" spans="1:17" x14ac:dyDescent="0.25">
      <c r="A805" t="s">
        <v>4198</v>
      </c>
      <c r="B805" t="s">
        <v>4199</v>
      </c>
      <c r="C805" s="1">
        <v>41275</v>
      </c>
      <c r="D805" s="1">
        <v>41639</v>
      </c>
      <c r="E805" t="s">
        <v>4200</v>
      </c>
      <c r="G805" t="s">
        <v>795</v>
      </c>
      <c r="H805" t="s">
        <v>21</v>
      </c>
      <c r="I805" t="str">
        <f>"46360"</f>
        <v>46360</v>
      </c>
      <c r="J805" t="s">
        <v>22</v>
      </c>
      <c r="K805" t="s">
        <v>30</v>
      </c>
      <c r="L805" s="2">
        <v>7554523</v>
      </c>
      <c r="M805" s="2">
        <v>3144039</v>
      </c>
      <c r="N805" s="2">
        <v>0</v>
      </c>
      <c r="O805" s="2">
        <v>581872</v>
      </c>
      <c r="P805" t="s">
        <v>24</v>
      </c>
      <c r="Q805" t="s">
        <v>24</v>
      </c>
    </row>
    <row r="806" spans="1:17" x14ac:dyDescent="0.25">
      <c r="A806" t="s">
        <v>2770</v>
      </c>
      <c r="B806" t="s">
        <v>2771</v>
      </c>
      <c r="C806" s="1">
        <v>41214</v>
      </c>
      <c r="D806" s="1">
        <v>41578</v>
      </c>
      <c r="E806" t="s">
        <v>2772</v>
      </c>
      <c r="G806" t="s">
        <v>28</v>
      </c>
      <c r="H806" t="s">
        <v>29</v>
      </c>
      <c r="I806" t="str">
        <f>"60603"</f>
        <v>60603</v>
      </c>
      <c r="J806" t="s">
        <v>22</v>
      </c>
      <c r="K806" t="s">
        <v>23</v>
      </c>
      <c r="L806" s="2">
        <v>7550783</v>
      </c>
      <c r="M806" s="2">
        <v>2848216</v>
      </c>
      <c r="N806" s="2">
        <v>0</v>
      </c>
      <c r="O806" s="2">
        <v>145571</v>
      </c>
      <c r="P806" t="s">
        <v>24</v>
      </c>
      <c r="Q806" t="s">
        <v>24</v>
      </c>
    </row>
    <row r="807" spans="1:17" x14ac:dyDescent="0.25">
      <c r="A807" t="s">
        <v>2057</v>
      </c>
      <c r="B807" t="s">
        <v>2058</v>
      </c>
      <c r="C807" s="1">
        <v>41275</v>
      </c>
      <c r="D807" s="1">
        <v>41639</v>
      </c>
      <c r="E807" t="s">
        <v>2059</v>
      </c>
      <c r="G807" t="s">
        <v>28</v>
      </c>
      <c r="H807" t="s">
        <v>29</v>
      </c>
      <c r="I807" t="str">
        <f>"60602"</f>
        <v>60602</v>
      </c>
      <c r="J807" t="s">
        <v>22</v>
      </c>
      <c r="K807" t="s">
        <v>23</v>
      </c>
      <c r="L807" s="2">
        <v>7521996</v>
      </c>
      <c r="M807" s="2">
        <v>15428532</v>
      </c>
      <c r="N807" s="2">
        <v>0</v>
      </c>
      <c r="O807" s="2">
        <v>232927</v>
      </c>
      <c r="P807" t="s">
        <v>24</v>
      </c>
      <c r="Q807" t="s">
        <v>24</v>
      </c>
    </row>
    <row r="808" spans="1:17" x14ac:dyDescent="0.25">
      <c r="A808" t="s">
        <v>5843</v>
      </c>
      <c r="B808" t="s">
        <v>5844</v>
      </c>
      <c r="C808" s="1">
        <v>41275</v>
      </c>
      <c r="D808" s="1">
        <v>41639</v>
      </c>
      <c r="E808" t="s">
        <v>5845</v>
      </c>
      <c r="G808" t="s">
        <v>2785</v>
      </c>
      <c r="H808" t="s">
        <v>29</v>
      </c>
      <c r="I808" t="str">
        <f>"62701"</f>
        <v>62701</v>
      </c>
      <c r="J808" t="s">
        <v>63</v>
      </c>
      <c r="K808" t="s">
        <v>64</v>
      </c>
      <c r="L808" s="2">
        <v>7510018</v>
      </c>
      <c r="M808" s="2">
        <v>600384</v>
      </c>
      <c r="N808" s="2">
        <v>3474226</v>
      </c>
      <c r="O808" s="2">
        <v>610040</v>
      </c>
      <c r="P808" s="2">
        <v>102079</v>
      </c>
      <c r="Q808" s="2">
        <v>12241</v>
      </c>
    </row>
    <row r="809" spans="1:17" x14ac:dyDescent="0.25">
      <c r="A809" t="s">
        <v>3625</v>
      </c>
      <c r="B809" t="s">
        <v>3626</v>
      </c>
      <c r="C809" s="1">
        <v>41275</v>
      </c>
      <c r="D809" s="1">
        <v>41639</v>
      </c>
      <c r="E809" t="s">
        <v>3627</v>
      </c>
      <c r="G809" t="s">
        <v>517</v>
      </c>
      <c r="H809" t="s">
        <v>62</v>
      </c>
      <c r="I809" t="str">
        <f>"45342"</f>
        <v>45342</v>
      </c>
      <c r="J809" t="s">
        <v>22</v>
      </c>
      <c r="K809" t="s">
        <v>30</v>
      </c>
      <c r="L809" s="2">
        <v>7509833</v>
      </c>
      <c r="M809" s="2">
        <v>2303689</v>
      </c>
      <c r="N809" s="2">
        <v>0</v>
      </c>
      <c r="O809" s="2">
        <v>433414</v>
      </c>
      <c r="P809" t="s">
        <v>24</v>
      </c>
      <c r="Q809" t="s">
        <v>24</v>
      </c>
    </row>
    <row r="810" spans="1:17" x14ac:dyDescent="0.25">
      <c r="A810" t="s">
        <v>6163</v>
      </c>
      <c r="B810" t="s">
        <v>6164</v>
      </c>
      <c r="C810" s="1">
        <v>41456</v>
      </c>
      <c r="D810" s="1">
        <v>41820</v>
      </c>
      <c r="E810" t="s">
        <v>6165</v>
      </c>
      <c r="G810" t="s">
        <v>2549</v>
      </c>
      <c r="H810" t="s">
        <v>42</v>
      </c>
      <c r="I810" t="str">
        <f>"54403"</f>
        <v>54403</v>
      </c>
      <c r="J810" t="s">
        <v>22</v>
      </c>
      <c r="K810" t="s">
        <v>91</v>
      </c>
      <c r="L810" s="2">
        <v>7509480</v>
      </c>
      <c r="M810" s="2">
        <v>3268958</v>
      </c>
      <c r="N810" s="2">
        <v>112637</v>
      </c>
      <c r="O810" s="2">
        <v>334665</v>
      </c>
      <c r="P810" t="s">
        <v>24</v>
      </c>
      <c r="Q810" t="s">
        <v>24</v>
      </c>
    </row>
    <row r="811" spans="1:17" x14ac:dyDescent="0.25">
      <c r="A811" t="s">
        <v>3224</v>
      </c>
      <c r="B811" t="s">
        <v>3225</v>
      </c>
      <c r="C811" s="1">
        <v>41275</v>
      </c>
      <c r="D811" s="1">
        <v>41639</v>
      </c>
      <c r="E811" t="s">
        <v>3226</v>
      </c>
      <c r="G811" t="s">
        <v>3227</v>
      </c>
      <c r="H811" t="s">
        <v>29</v>
      </c>
      <c r="I811" t="str">
        <f>"62501"</f>
        <v>62501</v>
      </c>
      <c r="J811" t="s">
        <v>22</v>
      </c>
      <c r="K811" t="s">
        <v>23</v>
      </c>
      <c r="L811" s="2">
        <v>7495865</v>
      </c>
      <c r="M811" s="2">
        <v>356891</v>
      </c>
      <c r="N811" s="2">
        <v>0</v>
      </c>
      <c r="O811" s="2">
        <v>332758</v>
      </c>
      <c r="P811" t="s">
        <v>24</v>
      </c>
      <c r="Q811" t="s">
        <v>24</v>
      </c>
    </row>
    <row r="812" spans="1:17" x14ac:dyDescent="0.25">
      <c r="A812" t="s">
        <v>5143</v>
      </c>
      <c r="B812" t="s">
        <v>5144</v>
      </c>
      <c r="C812" s="1">
        <v>41275</v>
      </c>
      <c r="D812" s="1">
        <v>41639</v>
      </c>
      <c r="E812" t="s">
        <v>5145</v>
      </c>
      <c r="G812" t="s">
        <v>843</v>
      </c>
      <c r="H812" t="s">
        <v>29</v>
      </c>
      <c r="I812" t="str">
        <f>"61101"</f>
        <v>61101</v>
      </c>
      <c r="J812" t="s">
        <v>63</v>
      </c>
      <c r="K812" t="s">
        <v>79</v>
      </c>
      <c r="L812" s="2">
        <v>7493330</v>
      </c>
      <c r="M812" s="2">
        <v>943194</v>
      </c>
      <c r="N812" s="2">
        <v>1962245</v>
      </c>
      <c r="O812" s="2">
        <v>1810464</v>
      </c>
      <c r="P812" s="2">
        <v>108389</v>
      </c>
      <c r="Q812" s="2">
        <v>2346</v>
      </c>
    </row>
    <row r="813" spans="1:17" x14ac:dyDescent="0.25">
      <c r="A813" t="s">
        <v>3162</v>
      </c>
      <c r="B813" t="s">
        <v>3163</v>
      </c>
      <c r="C813" s="1">
        <v>40179</v>
      </c>
      <c r="D813" s="1">
        <v>40543</v>
      </c>
      <c r="E813" t="s">
        <v>3164</v>
      </c>
      <c r="F813" t="s">
        <v>3165</v>
      </c>
      <c r="G813" t="s">
        <v>3166</v>
      </c>
      <c r="H813" t="s">
        <v>47</v>
      </c>
      <c r="I813" t="str">
        <f>"48381"</f>
        <v>48381</v>
      </c>
      <c r="J813" t="s">
        <v>63</v>
      </c>
      <c r="K813" t="s">
        <v>30</v>
      </c>
      <c r="L813" s="2">
        <v>7492725</v>
      </c>
      <c r="M813" s="2">
        <v>520937</v>
      </c>
      <c r="N813" s="2">
        <v>3650</v>
      </c>
      <c r="O813" s="2">
        <v>183571</v>
      </c>
      <c r="P813" s="2">
        <v>141916</v>
      </c>
      <c r="Q813" s="2">
        <v>0</v>
      </c>
    </row>
    <row r="814" spans="1:17" x14ac:dyDescent="0.25">
      <c r="A814" t="s">
        <v>1653</v>
      </c>
      <c r="B814" t="s">
        <v>1654</v>
      </c>
      <c r="C814" s="1">
        <v>41275</v>
      </c>
      <c r="D814" s="1">
        <v>41639</v>
      </c>
      <c r="E814" t="s">
        <v>1655</v>
      </c>
      <c r="G814" t="s">
        <v>1656</v>
      </c>
      <c r="H814" t="s">
        <v>62</v>
      </c>
      <c r="I814" t="str">
        <f>"45177"</f>
        <v>45177</v>
      </c>
      <c r="J814" t="s">
        <v>63</v>
      </c>
      <c r="K814" t="s">
        <v>64</v>
      </c>
      <c r="L814" s="2">
        <v>7481305</v>
      </c>
      <c r="M814" s="2">
        <v>1966559</v>
      </c>
      <c r="N814" s="2">
        <v>0</v>
      </c>
      <c r="O814" s="2">
        <v>1299608</v>
      </c>
      <c r="P814" s="2">
        <v>49726</v>
      </c>
      <c r="Q814" s="2">
        <v>0</v>
      </c>
    </row>
    <row r="815" spans="1:17" x14ac:dyDescent="0.25">
      <c r="A815" t="s">
        <v>2696</v>
      </c>
      <c r="B815" t="s">
        <v>2697</v>
      </c>
      <c r="C815" s="1">
        <v>41275</v>
      </c>
      <c r="D815" s="1">
        <v>41639</v>
      </c>
      <c r="E815" t="s">
        <v>2698</v>
      </c>
      <c r="G815" t="s">
        <v>2454</v>
      </c>
      <c r="H815" t="s">
        <v>42</v>
      </c>
      <c r="I815" t="str">
        <f>"53082"</f>
        <v>53082</v>
      </c>
      <c r="J815" t="s">
        <v>22</v>
      </c>
      <c r="K815" t="s">
        <v>91</v>
      </c>
      <c r="L815" s="2">
        <v>7474500</v>
      </c>
      <c r="M815" s="2">
        <v>5382558</v>
      </c>
      <c r="N815" s="2">
        <v>117229</v>
      </c>
      <c r="O815" s="2">
        <v>1156634</v>
      </c>
      <c r="P815" t="s">
        <v>24</v>
      </c>
      <c r="Q815" t="s">
        <v>24</v>
      </c>
    </row>
    <row r="816" spans="1:17" x14ac:dyDescent="0.25">
      <c r="A816" t="s">
        <v>632</v>
      </c>
      <c r="B816" t="s">
        <v>633</v>
      </c>
      <c r="C816" s="1">
        <v>41275</v>
      </c>
      <c r="D816" s="1">
        <v>41639</v>
      </c>
      <c r="E816" t="s">
        <v>53</v>
      </c>
      <c r="G816" t="s">
        <v>28</v>
      </c>
      <c r="H816" t="s">
        <v>29</v>
      </c>
      <c r="I816" t="str">
        <f>"60603"</f>
        <v>60603</v>
      </c>
      <c r="J816" t="s">
        <v>22</v>
      </c>
      <c r="K816" t="s">
        <v>23</v>
      </c>
      <c r="L816" s="2">
        <v>7470883</v>
      </c>
      <c r="M816" s="2">
        <v>2280497</v>
      </c>
      <c r="N816" s="2">
        <v>0</v>
      </c>
      <c r="O816" s="2">
        <v>340688</v>
      </c>
      <c r="P816" t="s">
        <v>24</v>
      </c>
      <c r="Q816" t="s">
        <v>24</v>
      </c>
    </row>
    <row r="817" spans="1:17" x14ac:dyDescent="0.25">
      <c r="A817" t="s">
        <v>2786</v>
      </c>
      <c r="B817" t="s">
        <v>2787</v>
      </c>
      <c r="C817" s="1">
        <v>41275</v>
      </c>
      <c r="D817" s="1">
        <v>41639</v>
      </c>
      <c r="E817" t="s">
        <v>2788</v>
      </c>
      <c r="G817" t="s">
        <v>86</v>
      </c>
      <c r="H817" t="s">
        <v>42</v>
      </c>
      <c r="I817" t="str">
        <f>"53701"</f>
        <v>53701</v>
      </c>
      <c r="J817" t="s">
        <v>22</v>
      </c>
      <c r="K817" t="s">
        <v>30</v>
      </c>
      <c r="L817" s="2">
        <v>7452402</v>
      </c>
      <c r="M817" s="2">
        <v>4360298</v>
      </c>
      <c r="N817" s="2">
        <v>235000</v>
      </c>
      <c r="O817" s="2">
        <v>411014</v>
      </c>
      <c r="P817" t="s">
        <v>24</v>
      </c>
      <c r="Q817" t="s">
        <v>24</v>
      </c>
    </row>
    <row r="818" spans="1:17" x14ac:dyDescent="0.25">
      <c r="A818" t="s">
        <v>4007</v>
      </c>
      <c r="B818" t="s">
        <v>4008</v>
      </c>
      <c r="C818" s="1">
        <v>41275</v>
      </c>
      <c r="D818" s="1">
        <v>41639</v>
      </c>
      <c r="E818" t="s">
        <v>4009</v>
      </c>
      <c r="G818" t="s">
        <v>684</v>
      </c>
      <c r="H818" t="s">
        <v>21</v>
      </c>
      <c r="I818" t="str">
        <f>"47902"</f>
        <v>47902</v>
      </c>
      <c r="J818" t="s">
        <v>22</v>
      </c>
      <c r="K818" t="s">
        <v>23</v>
      </c>
      <c r="L818" s="2">
        <v>7450411</v>
      </c>
      <c r="M818" s="2">
        <v>2053846</v>
      </c>
      <c r="N818" s="2">
        <v>0</v>
      </c>
      <c r="O818" s="2">
        <v>308146</v>
      </c>
      <c r="P818" t="s">
        <v>24</v>
      </c>
      <c r="Q818" t="s">
        <v>24</v>
      </c>
    </row>
    <row r="819" spans="1:17" x14ac:dyDescent="0.25">
      <c r="A819" t="s">
        <v>410</v>
      </c>
      <c r="B819" t="s">
        <v>411</v>
      </c>
      <c r="C819" s="1">
        <v>41275</v>
      </c>
      <c r="D819" s="1">
        <v>41639</v>
      </c>
      <c r="E819" t="s">
        <v>412</v>
      </c>
      <c r="G819" t="s">
        <v>41</v>
      </c>
      <c r="H819" t="s">
        <v>42</v>
      </c>
      <c r="I819" t="str">
        <f>"53202"</f>
        <v>53202</v>
      </c>
      <c r="J819" t="s">
        <v>22</v>
      </c>
      <c r="K819" t="s">
        <v>30</v>
      </c>
      <c r="L819" s="2">
        <v>7443470</v>
      </c>
      <c r="M819" s="2">
        <v>1928826</v>
      </c>
      <c r="N819" s="2">
        <v>0</v>
      </c>
      <c r="O819" s="2">
        <v>351726</v>
      </c>
      <c r="P819" t="s">
        <v>24</v>
      </c>
      <c r="Q819" t="s">
        <v>24</v>
      </c>
    </row>
    <row r="820" spans="1:17" x14ac:dyDescent="0.25">
      <c r="A820" t="s">
        <v>5570</v>
      </c>
      <c r="B820" t="s">
        <v>5571</v>
      </c>
      <c r="C820" s="1">
        <v>41275</v>
      </c>
      <c r="D820" s="1">
        <v>41639</v>
      </c>
      <c r="E820" t="s">
        <v>1496</v>
      </c>
      <c r="G820" t="s">
        <v>167</v>
      </c>
      <c r="H820" t="s">
        <v>62</v>
      </c>
      <c r="I820" t="str">
        <f>"45263"</f>
        <v>45263</v>
      </c>
      <c r="J820" t="s">
        <v>22</v>
      </c>
      <c r="K820" t="s">
        <v>30</v>
      </c>
      <c r="L820" s="2">
        <v>7437807</v>
      </c>
      <c r="M820" s="2">
        <v>2550176</v>
      </c>
      <c r="N820" s="2">
        <v>0</v>
      </c>
      <c r="O820" s="2">
        <v>390809</v>
      </c>
      <c r="P820" t="s">
        <v>24</v>
      </c>
      <c r="Q820" t="s">
        <v>24</v>
      </c>
    </row>
    <row r="821" spans="1:17" x14ac:dyDescent="0.25">
      <c r="A821" t="s">
        <v>3891</v>
      </c>
      <c r="B821" t="s">
        <v>3892</v>
      </c>
      <c r="C821" s="1">
        <v>41275</v>
      </c>
      <c r="D821" s="1">
        <v>41639</v>
      </c>
      <c r="E821" t="s">
        <v>3893</v>
      </c>
      <c r="G821" t="s">
        <v>3638</v>
      </c>
      <c r="H821" t="s">
        <v>62</v>
      </c>
      <c r="I821" t="str">
        <f>"44685"</f>
        <v>44685</v>
      </c>
      <c r="J821" t="s">
        <v>22</v>
      </c>
      <c r="K821" t="s">
        <v>23</v>
      </c>
      <c r="L821" s="2">
        <v>7429754</v>
      </c>
      <c r="M821" s="2">
        <v>3678122</v>
      </c>
      <c r="N821" s="2">
        <v>0</v>
      </c>
      <c r="O821" s="2">
        <v>50311</v>
      </c>
      <c r="P821" t="s">
        <v>24</v>
      </c>
      <c r="Q821" t="s">
        <v>24</v>
      </c>
    </row>
    <row r="822" spans="1:17" x14ac:dyDescent="0.25">
      <c r="A822" t="s">
        <v>5572</v>
      </c>
      <c r="B822" t="s">
        <v>5573</v>
      </c>
      <c r="C822" s="1">
        <v>41275</v>
      </c>
      <c r="D822" s="1">
        <v>41639</v>
      </c>
      <c r="E822" t="s">
        <v>5574</v>
      </c>
      <c r="G822" t="s">
        <v>167</v>
      </c>
      <c r="H822" t="s">
        <v>62</v>
      </c>
      <c r="I822" t="str">
        <f>"45248"</f>
        <v>45248</v>
      </c>
      <c r="J822" t="s">
        <v>22</v>
      </c>
      <c r="K822" t="s">
        <v>30</v>
      </c>
      <c r="L822" s="2">
        <v>7424703</v>
      </c>
      <c r="M822" s="2">
        <v>2610730</v>
      </c>
      <c r="N822" s="2">
        <v>0</v>
      </c>
      <c r="O822" s="2">
        <v>30790</v>
      </c>
      <c r="P822" t="s">
        <v>24</v>
      </c>
      <c r="Q822" t="s">
        <v>24</v>
      </c>
    </row>
    <row r="823" spans="1:17" x14ac:dyDescent="0.25">
      <c r="A823" t="s">
        <v>4551</v>
      </c>
      <c r="B823" t="s">
        <v>4552</v>
      </c>
      <c r="C823" s="1">
        <v>41275</v>
      </c>
      <c r="D823" s="1">
        <v>41639</v>
      </c>
      <c r="E823" t="s">
        <v>4553</v>
      </c>
      <c r="G823" t="s">
        <v>4554</v>
      </c>
      <c r="H823" t="s">
        <v>29</v>
      </c>
      <c r="I823" t="str">
        <f>"60901"</f>
        <v>60901</v>
      </c>
      <c r="J823" t="s">
        <v>63</v>
      </c>
      <c r="K823" t="s">
        <v>64</v>
      </c>
      <c r="L823" s="2">
        <v>7423535</v>
      </c>
      <c r="M823" s="2">
        <v>502190</v>
      </c>
      <c r="N823" s="2">
        <v>2537</v>
      </c>
      <c r="O823" s="2">
        <v>442206</v>
      </c>
      <c r="P823" s="2">
        <v>187574</v>
      </c>
      <c r="Q823" s="2">
        <v>0</v>
      </c>
    </row>
    <row r="824" spans="1:17" x14ac:dyDescent="0.25">
      <c r="A824" t="s">
        <v>4815</v>
      </c>
      <c r="B824" t="s">
        <v>4816</v>
      </c>
      <c r="C824" s="1">
        <v>41030</v>
      </c>
      <c r="D824" s="1">
        <v>41394</v>
      </c>
      <c r="E824" t="s">
        <v>556</v>
      </c>
      <c r="G824" t="s">
        <v>167</v>
      </c>
      <c r="H824" t="s">
        <v>62</v>
      </c>
      <c r="I824" t="str">
        <f>"45201"</f>
        <v>45201</v>
      </c>
      <c r="J824" t="s">
        <v>22</v>
      </c>
      <c r="K824" t="s">
        <v>23</v>
      </c>
      <c r="L824" s="2">
        <v>7410530</v>
      </c>
      <c r="M824" s="2">
        <v>7974428</v>
      </c>
      <c r="N824" s="2">
        <v>0</v>
      </c>
      <c r="O824" s="2">
        <v>358853</v>
      </c>
      <c r="P824" t="s">
        <v>24</v>
      </c>
      <c r="Q824" t="s">
        <v>24</v>
      </c>
    </row>
    <row r="825" spans="1:17" x14ac:dyDescent="0.25">
      <c r="A825" t="s">
        <v>4904</v>
      </c>
      <c r="B825" t="s">
        <v>4905</v>
      </c>
      <c r="C825" s="1">
        <v>41275</v>
      </c>
      <c r="D825" s="1">
        <v>41639</v>
      </c>
      <c r="E825" t="s">
        <v>4906</v>
      </c>
      <c r="G825" t="s">
        <v>4907</v>
      </c>
      <c r="H825" t="s">
        <v>78</v>
      </c>
      <c r="I825" t="str">
        <f>"40823"</f>
        <v>40823</v>
      </c>
      <c r="J825" t="s">
        <v>22</v>
      </c>
      <c r="K825" t="s">
        <v>23</v>
      </c>
      <c r="L825" s="2">
        <v>7404525</v>
      </c>
      <c r="M825" s="2">
        <v>3883836</v>
      </c>
      <c r="N825" s="2">
        <v>0</v>
      </c>
      <c r="O825" s="2">
        <v>375586</v>
      </c>
      <c r="P825" t="s">
        <v>24</v>
      </c>
      <c r="Q825" t="s">
        <v>24</v>
      </c>
    </row>
    <row r="826" spans="1:17" x14ac:dyDescent="0.25">
      <c r="A826" t="s">
        <v>2385</v>
      </c>
      <c r="B826" t="s">
        <v>2386</v>
      </c>
      <c r="C826" s="1">
        <v>41275</v>
      </c>
      <c r="D826" s="1">
        <v>41639</v>
      </c>
      <c r="E826" t="s">
        <v>2387</v>
      </c>
      <c r="G826" t="s">
        <v>353</v>
      </c>
      <c r="H826" t="s">
        <v>62</v>
      </c>
      <c r="I826" t="str">
        <f>"43216"</f>
        <v>43216</v>
      </c>
      <c r="J826" t="s">
        <v>22</v>
      </c>
      <c r="K826" t="s">
        <v>79</v>
      </c>
      <c r="L826" s="2">
        <v>7401798</v>
      </c>
      <c r="M826" s="2">
        <v>808392</v>
      </c>
      <c r="N826" s="2">
        <v>0</v>
      </c>
      <c r="O826" s="2">
        <v>339873</v>
      </c>
      <c r="P826" t="s">
        <v>24</v>
      </c>
      <c r="Q826" t="s">
        <v>24</v>
      </c>
    </row>
    <row r="827" spans="1:17" x14ac:dyDescent="0.25">
      <c r="A827" t="s">
        <v>1276</v>
      </c>
      <c r="B827" t="s">
        <v>1277</v>
      </c>
      <c r="C827" s="1">
        <v>41091</v>
      </c>
      <c r="D827" s="1">
        <v>41455</v>
      </c>
      <c r="E827" t="s">
        <v>1278</v>
      </c>
      <c r="G827" t="s">
        <v>1279</v>
      </c>
      <c r="H827" t="s">
        <v>21</v>
      </c>
      <c r="I827" t="str">
        <f>"46064"</f>
        <v>46064</v>
      </c>
      <c r="J827" t="s">
        <v>63</v>
      </c>
      <c r="K827" t="s">
        <v>64</v>
      </c>
      <c r="L827" s="2">
        <v>7353098</v>
      </c>
      <c r="M827" s="2">
        <v>1562267</v>
      </c>
      <c r="N827" s="2">
        <v>82293</v>
      </c>
      <c r="O827" s="2">
        <v>384153</v>
      </c>
      <c r="P827" s="2">
        <v>0</v>
      </c>
      <c r="Q827" s="2">
        <v>5114</v>
      </c>
    </row>
    <row r="828" spans="1:17" x14ac:dyDescent="0.25">
      <c r="A828" t="s">
        <v>2672</v>
      </c>
      <c r="B828" t="s">
        <v>2673</v>
      </c>
      <c r="C828" s="1">
        <v>41275</v>
      </c>
      <c r="D828" s="1">
        <v>41639</v>
      </c>
      <c r="E828" t="s">
        <v>2674</v>
      </c>
      <c r="G828" t="s">
        <v>2675</v>
      </c>
      <c r="H828" t="s">
        <v>29</v>
      </c>
      <c r="I828" t="str">
        <f>"60714"</f>
        <v>60714</v>
      </c>
      <c r="J828" t="s">
        <v>22</v>
      </c>
      <c r="K828" t="s">
        <v>30</v>
      </c>
      <c r="L828" s="2">
        <v>7349320</v>
      </c>
      <c r="M828" s="2">
        <v>568853</v>
      </c>
      <c r="N828" s="2">
        <v>287760</v>
      </c>
      <c r="O828" s="2">
        <v>471759</v>
      </c>
      <c r="P828" t="s">
        <v>24</v>
      </c>
      <c r="Q828" t="s">
        <v>24</v>
      </c>
    </row>
    <row r="829" spans="1:17" x14ac:dyDescent="0.25">
      <c r="A829" t="s">
        <v>5584</v>
      </c>
      <c r="B829" t="s">
        <v>5585</v>
      </c>
      <c r="C829" s="1">
        <v>41275</v>
      </c>
      <c r="D829" s="1">
        <v>41639</v>
      </c>
      <c r="E829" t="s">
        <v>5586</v>
      </c>
      <c r="G829" t="s">
        <v>143</v>
      </c>
      <c r="H829" t="s">
        <v>47</v>
      </c>
      <c r="I829" t="str">
        <f>"48226"</f>
        <v>48226</v>
      </c>
      <c r="J829" t="s">
        <v>22</v>
      </c>
      <c r="K829" t="s">
        <v>30</v>
      </c>
      <c r="L829" s="2">
        <v>7341388</v>
      </c>
      <c r="M829" s="2">
        <v>2681200</v>
      </c>
      <c r="N829" s="2">
        <v>90955</v>
      </c>
      <c r="O829" s="2">
        <v>387021</v>
      </c>
      <c r="P829" t="s">
        <v>24</v>
      </c>
      <c r="Q829" t="s">
        <v>24</v>
      </c>
    </row>
    <row r="830" spans="1:17" x14ac:dyDescent="0.25">
      <c r="A830" t="s">
        <v>365</v>
      </c>
      <c r="B830" t="s">
        <v>366</v>
      </c>
      <c r="C830" s="1">
        <v>41275</v>
      </c>
      <c r="D830" s="1">
        <v>41639</v>
      </c>
      <c r="E830" t="s">
        <v>367</v>
      </c>
      <c r="G830" t="s">
        <v>28</v>
      </c>
      <c r="H830" t="s">
        <v>29</v>
      </c>
      <c r="I830" t="str">
        <f>"60606"</f>
        <v>60606</v>
      </c>
      <c r="J830" t="s">
        <v>22</v>
      </c>
      <c r="K830" t="s">
        <v>30</v>
      </c>
      <c r="L830" s="2">
        <v>7303479</v>
      </c>
      <c r="M830" s="2">
        <v>1439272</v>
      </c>
      <c r="N830" s="2">
        <v>0</v>
      </c>
      <c r="O830" s="2">
        <v>2243073</v>
      </c>
      <c r="P830" t="s">
        <v>24</v>
      </c>
      <c r="Q830" t="s">
        <v>24</v>
      </c>
    </row>
    <row r="831" spans="1:17" x14ac:dyDescent="0.25">
      <c r="A831" t="s">
        <v>4858</v>
      </c>
      <c r="B831" t="s">
        <v>4859</v>
      </c>
      <c r="C831" s="1">
        <v>40909</v>
      </c>
      <c r="D831" s="1">
        <v>41274</v>
      </c>
      <c r="E831" t="s">
        <v>3433</v>
      </c>
      <c r="G831" t="s">
        <v>143</v>
      </c>
      <c r="H831" t="s">
        <v>47</v>
      </c>
      <c r="I831" t="str">
        <f>"48226"</f>
        <v>48226</v>
      </c>
      <c r="J831" t="s">
        <v>22</v>
      </c>
      <c r="K831" t="s">
        <v>23</v>
      </c>
      <c r="L831" s="2">
        <v>7289105</v>
      </c>
      <c r="M831" s="2">
        <v>1396879</v>
      </c>
      <c r="N831" s="2">
        <v>0</v>
      </c>
      <c r="O831" s="2">
        <v>450108</v>
      </c>
      <c r="P831" t="s">
        <v>24</v>
      </c>
      <c r="Q831" t="s">
        <v>24</v>
      </c>
    </row>
    <row r="832" spans="1:17" x14ac:dyDescent="0.25">
      <c r="A832" t="s">
        <v>2666</v>
      </c>
      <c r="B832" t="s">
        <v>2667</v>
      </c>
      <c r="C832" s="1">
        <v>41275</v>
      </c>
      <c r="D832" s="1">
        <v>41639</v>
      </c>
      <c r="E832" t="s">
        <v>2668</v>
      </c>
      <c r="G832" t="s">
        <v>1134</v>
      </c>
      <c r="H832" t="s">
        <v>21</v>
      </c>
      <c r="I832" t="str">
        <f>"47130"</f>
        <v>47130</v>
      </c>
      <c r="J832" t="s">
        <v>752</v>
      </c>
      <c r="K832" t="s">
        <v>753</v>
      </c>
      <c r="L832" s="2">
        <v>7272721</v>
      </c>
      <c r="M832" s="2">
        <v>1697298</v>
      </c>
      <c r="N832" s="2">
        <v>5252</v>
      </c>
      <c r="O832" s="2">
        <v>255007</v>
      </c>
      <c r="P832" t="s">
        <v>24</v>
      </c>
      <c r="Q832" t="s">
        <v>24</v>
      </c>
    </row>
    <row r="833" spans="1:17" x14ac:dyDescent="0.25">
      <c r="A833" t="s">
        <v>6284</v>
      </c>
      <c r="B833" t="s">
        <v>6285</v>
      </c>
      <c r="C833" s="1">
        <v>41548</v>
      </c>
      <c r="D833" s="1">
        <v>41912</v>
      </c>
      <c r="E833" t="s">
        <v>6286</v>
      </c>
      <c r="G833" t="s">
        <v>6287</v>
      </c>
      <c r="H833" t="s">
        <v>21</v>
      </c>
      <c r="I833" t="str">
        <f>"47454"</f>
        <v>47454</v>
      </c>
      <c r="J833" t="s">
        <v>63</v>
      </c>
      <c r="K833" t="s">
        <v>64</v>
      </c>
      <c r="L833" s="2">
        <v>7245790</v>
      </c>
      <c r="M833" s="2">
        <v>770270</v>
      </c>
      <c r="N833" s="2">
        <v>132256</v>
      </c>
      <c r="O833" s="2">
        <v>833988</v>
      </c>
      <c r="P833" s="2">
        <v>104658</v>
      </c>
      <c r="Q833" s="2">
        <v>32159</v>
      </c>
    </row>
    <row r="834" spans="1:17" x14ac:dyDescent="0.25">
      <c r="A834" t="s">
        <v>7334</v>
      </c>
      <c r="B834" t="s">
        <v>7335</v>
      </c>
      <c r="C834" s="1">
        <v>41275</v>
      </c>
      <c r="D834" s="1">
        <v>41639</v>
      </c>
      <c r="E834" t="s">
        <v>7336</v>
      </c>
      <c r="G834" t="s">
        <v>28</v>
      </c>
      <c r="H834" t="s">
        <v>29</v>
      </c>
      <c r="I834" t="str">
        <f>"60603"</f>
        <v>60603</v>
      </c>
      <c r="J834" t="s">
        <v>22</v>
      </c>
      <c r="K834" t="s">
        <v>23</v>
      </c>
      <c r="L834" s="2">
        <v>7226222</v>
      </c>
      <c r="M834" s="2">
        <v>4183463</v>
      </c>
      <c r="N834" s="2">
        <v>0</v>
      </c>
      <c r="O834" s="2">
        <v>323816</v>
      </c>
      <c r="P834" t="s">
        <v>24</v>
      </c>
      <c r="Q834" t="s">
        <v>24</v>
      </c>
    </row>
    <row r="835" spans="1:17" x14ac:dyDescent="0.25">
      <c r="A835" t="s">
        <v>6897</v>
      </c>
      <c r="B835" t="s">
        <v>6898</v>
      </c>
      <c r="C835" s="1">
        <v>41183</v>
      </c>
      <c r="D835" s="1">
        <v>41547</v>
      </c>
      <c r="E835" t="s">
        <v>6899</v>
      </c>
      <c r="G835" t="s">
        <v>6900</v>
      </c>
      <c r="H835" t="s">
        <v>21</v>
      </c>
      <c r="I835" t="str">
        <f>"47170"</f>
        <v>47170</v>
      </c>
      <c r="J835" t="s">
        <v>63</v>
      </c>
      <c r="K835" t="s">
        <v>64</v>
      </c>
      <c r="L835" s="2">
        <v>7221691</v>
      </c>
      <c r="M835" s="2">
        <v>348136</v>
      </c>
      <c r="N835" s="2">
        <v>303018</v>
      </c>
      <c r="O835" s="2">
        <v>366820</v>
      </c>
      <c r="P835" s="2">
        <v>61590</v>
      </c>
      <c r="Q835" s="2">
        <v>54979</v>
      </c>
    </row>
    <row r="836" spans="1:17" x14ac:dyDescent="0.25">
      <c r="A836" t="s">
        <v>5807</v>
      </c>
      <c r="B836" t="s">
        <v>5808</v>
      </c>
      <c r="C836" s="1">
        <v>41275</v>
      </c>
      <c r="D836" s="1">
        <v>41639</v>
      </c>
      <c r="E836" t="s">
        <v>5809</v>
      </c>
      <c r="G836" t="s">
        <v>5810</v>
      </c>
      <c r="H836" t="s">
        <v>78</v>
      </c>
      <c r="I836" t="str">
        <f>"40223"</f>
        <v>40223</v>
      </c>
      <c r="J836" t="s">
        <v>22</v>
      </c>
      <c r="K836" t="s">
        <v>23</v>
      </c>
      <c r="L836" s="2">
        <v>7213632</v>
      </c>
      <c r="M836" s="2">
        <v>469625</v>
      </c>
      <c r="N836" s="2">
        <v>0</v>
      </c>
      <c r="O836" s="2">
        <v>361440</v>
      </c>
      <c r="P836" t="s">
        <v>24</v>
      </c>
      <c r="Q836" t="s">
        <v>24</v>
      </c>
    </row>
    <row r="837" spans="1:17" x14ac:dyDescent="0.25">
      <c r="A837" t="s">
        <v>1549</v>
      </c>
      <c r="B837" t="s">
        <v>1550</v>
      </c>
      <c r="C837" s="1">
        <v>41030</v>
      </c>
      <c r="D837" s="1">
        <v>41394</v>
      </c>
      <c r="E837" t="s">
        <v>163</v>
      </c>
      <c r="G837" t="s">
        <v>28</v>
      </c>
      <c r="H837" t="s">
        <v>29</v>
      </c>
      <c r="I837" t="str">
        <f>"60603"</f>
        <v>60603</v>
      </c>
      <c r="J837" t="s">
        <v>22</v>
      </c>
      <c r="K837" t="s">
        <v>30</v>
      </c>
      <c r="L837" s="2">
        <v>7200784</v>
      </c>
      <c r="M837" s="2">
        <v>4087912</v>
      </c>
      <c r="N837" s="2">
        <v>0</v>
      </c>
      <c r="O837" s="2">
        <v>404909</v>
      </c>
      <c r="P837" t="s">
        <v>24</v>
      </c>
      <c r="Q837" t="s">
        <v>24</v>
      </c>
    </row>
    <row r="838" spans="1:17" x14ac:dyDescent="0.25">
      <c r="A838" t="s">
        <v>1789</v>
      </c>
      <c r="B838" t="s">
        <v>1790</v>
      </c>
      <c r="C838" s="1">
        <v>41275</v>
      </c>
      <c r="D838" s="1">
        <v>41639</v>
      </c>
      <c r="E838" t="s">
        <v>1791</v>
      </c>
      <c r="G838" t="s">
        <v>1792</v>
      </c>
      <c r="H838" t="s">
        <v>47</v>
      </c>
      <c r="I838" t="str">
        <f>"48302"</f>
        <v>48302</v>
      </c>
      <c r="J838" t="s">
        <v>22</v>
      </c>
      <c r="K838" t="s">
        <v>30</v>
      </c>
      <c r="L838" s="2">
        <v>7199105</v>
      </c>
      <c r="M838" s="2">
        <v>1573648</v>
      </c>
      <c r="N838" s="2">
        <v>0</v>
      </c>
      <c r="O838" s="2">
        <v>401953</v>
      </c>
      <c r="P838" t="s">
        <v>24</v>
      </c>
      <c r="Q838" t="s">
        <v>24</v>
      </c>
    </row>
    <row r="839" spans="1:17" x14ac:dyDescent="0.25">
      <c r="A839" t="s">
        <v>6361</v>
      </c>
      <c r="B839" t="s">
        <v>6362</v>
      </c>
      <c r="C839" s="1">
        <v>41275</v>
      </c>
      <c r="D839" s="1">
        <v>41639</v>
      </c>
      <c r="E839" t="s">
        <v>6363</v>
      </c>
      <c r="G839" t="s">
        <v>167</v>
      </c>
      <c r="H839" t="s">
        <v>62</v>
      </c>
      <c r="I839" t="str">
        <f>"45233"</f>
        <v>45233</v>
      </c>
      <c r="J839" t="s">
        <v>22</v>
      </c>
      <c r="K839" t="s">
        <v>30</v>
      </c>
      <c r="L839" s="2">
        <v>7194375</v>
      </c>
      <c r="M839" s="2">
        <v>4894392</v>
      </c>
      <c r="N839" s="2">
        <v>0</v>
      </c>
      <c r="O839" s="2">
        <v>389454</v>
      </c>
      <c r="P839" t="s">
        <v>24</v>
      </c>
      <c r="Q839" t="s">
        <v>24</v>
      </c>
    </row>
    <row r="840" spans="1:17" x14ac:dyDescent="0.25">
      <c r="A840" t="s">
        <v>7660</v>
      </c>
      <c r="B840" t="s">
        <v>7661</v>
      </c>
      <c r="C840" s="1">
        <v>41275</v>
      </c>
      <c r="D840" s="1">
        <v>41639</v>
      </c>
      <c r="E840" t="s">
        <v>7662</v>
      </c>
      <c r="G840" t="s">
        <v>517</v>
      </c>
      <c r="H840" t="s">
        <v>62</v>
      </c>
      <c r="I840" t="str">
        <f>"45414"</f>
        <v>45414</v>
      </c>
      <c r="J840" t="s">
        <v>22</v>
      </c>
      <c r="K840" t="s">
        <v>23</v>
      </c>
      <c r="L840" s="2">
        <v>7185917</v>
      </c>
      <c r="M840" s="2">
        <v>20000000</v>
      </c>
      <c r="N840" s="2">
        <v>0</v>
      </c>
      <c r="O840" s="2">
        <v>13644667</v>
      </c>
      <c r="P840" t="s">
        <v>24</v>
      </c>
      <c r="Q840" t="s">
        <v>24</v>
      </c>
    </row>
    <row r="841" spans="1:17" x14ac:dyDescent="0.25">
      <c r="A841" t="s">
        <v>1671</v>
      </c>
      <c r="B841" t="s">
        <v>1672</v>
      </c>
      <c r="C841" s="1">
        <v>41275</v>
      </c>
      <c r="D841" s="1">
        <v>41639</v>
      </c>
      <c r="E841" t="s">
        <v>1673</v>
      </c>
      <c r="G841" t="s">
        <v>1674</v>
      </c>
      <c r="H841" t="s">
        <v>42</v>
      </c>
      <c r="I841" t="str">
        <f>"53006"</f>
        <v>53006</v>
      </c>
      <c r="J841" t="s">
        <v>22</v>
      </c>
      <c r="K841" t="s">
        <v>23</v>
      </c>
      <c r="L841" s="2">
        <v>7157919</v>
      </c>
      <c r="M841" s="2">
        <v>5757386</v>
      </c>
      <c r="N841" s="2">
        <v>0</v>
      </c>
      <c r="O841" s="2">
        <v>2663654</v>
      </c>
      <c r="P841" t="s">
        <v>24</v>
      </c>
      <c r="Q841" t="s">
        <v>24</v>
      </c>
    </row>
    <row r="842" spans="1:17" x14ac:dyDescent="0.25">
      <c r="A842" t="s">
        <v>7279</v>
      </c>
      <c r="B842" t="s">
        <v>7280</v>
      </c>
      <c r="C842" s="1">
        <v>40909</v>
      </c>
      <c r="D842" s="1">
        <v>41274</v>
      </c>
      <c r="E842" t="s">
        <v>7281</v>
      </c>
      <c r="G842" t="s">
        <v>28</v>
      </c>
      <c r="H842" t="s">
        <v>29</v>
      </c>
      <c r="I842" t="str">
        <f>"60602"</f>
        <v>60602</v>
      </c>
      <c r="J842" t="s">
        <v>22</v>
      </c>
      <c r="K842" t="s">
        <v>91</v>
      </c>
      <c r="L842" s="2">
        <v>7156159</v>
      </c>
      <c r="M842" s="2">
        <v>1379954</v>
      </c>
      <c r="N842" s="2">
        <v>0</v>
      </c>
      <c r="O842" s="2">
        <v>1021530</v>
      </c>
      <c r="P842" t="s">
        <v>24</v>
      </c>
      <c r="Q842" t="s">
        <v>24</v>
      </c>
    </row>
    <row r="843" spans="1:17" x14ac:dyDescent="0.25">
      <c r="A843" t="s">
        <v>6395</v>
      </c>
      <c r="B843" t="s">
        <v>6396</v>
      </c>
      <c r="C843" s="1">
        <v>40909</v>
      </c>
      <c r="D843" s="1">
        <v>41274</v>
      </c>
      <c r="E843" t="s">
        <v>6397</v>
      </c>
      <c r="G843" t="s">
        <v>139</v>
      </c>
      <c r="H843" t="s">
        <v>47</v>
      </c>
      <c r="I843" t="str">
        <f>"49546"</f>
        <v>49546</v>
      </c>
      <c r="J843" t="s">
        <v>22</v>
      </c>
      <c r="K843" t="s">
        <v>23</v>
      </c>
      <c r="L843" s="2">
        <v>7153990</v>
      </c>
      <c r="M843" s="2">
        <v>2870964</v>
      </c>
      <c r="N843" s="2">
        <v>32580</v>
      </c>
      <c r="O843" s="2">
        <v>479349</v>
      </c>
      <c r="P843" t="s">
        <v>24</v>
      </c>
      <c r="Q843" t="s">
        <v>24</v>
      </c>
    </row>
    <row r="844" spans="1:17" x14ac:dyDescent="0.25">
      <c r="A844" t="s">
        <v>6040</v>
      </c>
      <c r="B844" t="s">
        <v>6041</v>
      </c>
      <c r="C844" s="1">
        <v>41456</v>
      </c>
      <c r="D844" s="1">
        <v>41820</v>
      </c>
      <c r="E844" t="s">
        <v>6042</v>
      </c>
      <c r="G844" t="s">
        <v>357</v>
      </c>
      <c r="H844" t="s">
        <v>21</v>
      </c>
      <c r="I844" t="str">
        <f>"46802"</f>
        <v>46802</v>
      </c>
      <c r="J844" t="s">
        <v>22</v>
      </c>
      <c r="K844" t="s">
        <v>30</v>
      </c>
      <c r="L844" s="2">
        <v>7109568</v>
      </c>
      <c r="M844" s="2">
        <v>5070475</v>
      </c>
      <c r="N844" s="2">
        <v>0</v>
      </c>
      <c r="O844" s="2">
        <v>609411</v>
      </c>
      <c r="P844" t="s">
        <v>24</v>
      </c>
      <c r="Q844" t="s">
        <v>24</v>
      </c>
    </row>
    <row r="845" spans="1:17" x14ac:dyDescent="0.25">
      <c r="A845" t="s">
        <v>7304</v>
      </c>
      <c r="B845" t="s">
        <v>7305</v>
      </c>
      <c r="C845" s="1">
        <v>41275</v>
      </c>
      <c r="D845" s="1">
        <v>41639</v>
      </c>
      <c r="E845" t="s">
        <v>7306</v>
      </c>
      <c r="G845" t="s">
        <v>77</v>
      </c>
      <c r="H845" t="s">
        <v>78</v>
      </c>
      <c r="I845" t="str">
        <f>"40259"</f>
        <v>40259</v>
      </c>
      <c r="J845" t="s">
        <v>22</v>
      </c>
      <c r="K845" t="s">
        <v>23</v>
      </c>
      <c r="L845" s="2">
        <v>7098791</v>
      </c>
      <c r="M845" s="2">
        <v>5914773</v>
      </c>
      <c r="N845" s="2">
        <v>0</v>
      </c>
      <c r="O845" s="2">
        <v>365407</v>
      </c>
      <c r="P845" t="s">
        <v>24</v>
      </c>
      <c r="Q845" t="s">
        <v>24</v>
      </c>
    </row>
    <row r="846" spans="1:17" x14ac:dyDescent="0.25">
      <c r="A846" t="s">
        <v>3287</v>
      </c>
      <c r="B846" t="s">
        <v>3288</v>
      </c>
      <c r="C846" s="1">
        <v>41275</v>
      </c>
      <c r="D846" s="1">
        <v>41639</v>
      </c>
      <c r="E846" t="s">
        <v>2369</v>
      </c>
      <c r="G846" t="s">
        <v>41</v>
      </c>
      <c r="H846" t="s">
        <v>42</v>
      </c>
      <c r="I846" t="str">
        <f>"53202"</f>
        <v>53202</v>
      </c>
      <c r="J846" t="s">
        <v>22</v>
      </c>
      <c r="K846" t="s">
        <v>23</v>
      </c>
      <c r="L846" s="2">
        <v>7095833</v>
      </c>
      <c r="M846" s="2">
        <v>1848489</v>
      </c>
      <c r="N846" s="2">
        <v>0</v>
      </c>
      <c r="O846" s="2">
        <v>300153</v>
      </c>
      <c r="P846" t="s">
        <v>24</v>
      </c>
      <c r="Q846" t="s">
        <v>24</v>
      </c>
    </row>
    <row r="847" spans="1:17" x14ac:dyDescent="0.25">
      <c r="A847" t="s">
        <v>5274</v>
      </c>
      <c r="B847" t="s">
        <v>5275</v>
      </c>
      <c r="C847" s="1">
        <v>41275</v>
      </c>
      <c r="D847" s="1">
        <v>41639</v>
      </c>
      <c r="E847" t="s">
        <v>5276</v>
      </c>
      <c r="G847" t="s">
        <v>337</v>
      </c>
      <c r="H847" t="s">
        <v>62</v>
      </c>
      <c r="I847" t="str">
        <f>"44124"</f>
        <v>44124</v>
      </c>
      <c r="J847" t="s">
        <v>22</v>
      </c>
      <c r="K847" t="s">
        <v>23</v>
      </c>
      <c r="L847" s="2">
        <v>7093977</v>
      </c>
      <c r="M847" s="2">
        <v>475745</v>
      </c>
      <c r="N847" s="2">
        <v>0</v>
      </c>
      <c r="O847" s="2">
        <v>331759</v>
      </c>
      <c r="P847" t="s">
        <v>24</v>
      </c>
      <c r="Q847" t="s">
        <v>24</v>
      </c>
    </row>
    <row r="848" spans="1:17" x14ac:dyDescent="0.25">
      <c r="A848" t="s">
        <v>7492</v>
      </c>
      <c r="B848" t="s">
        <v>7493</v>
      </c>
      <c r="C848" s="1">
        <v>41275</v>
      </c>
      <c r="D848" s="1">
        <v>41639</v>
      </c>
      <c r="E848" t="s">
        <v>2364</v>
      </c>
      <c r="G848" t="s">
        <v>77</v>
      </c>
      <c r="H848" t="s">
        <v>78</v>
      </c>
      <c r="I848" t="str">
        <f>"40222"</f>
        <v>40222</v>
      </c>
      <c r="J848" t="s">
        <v>22</v>
      </c>
      <c r="K848" t="s">
        <v>23</v>
      </c>
      <c r="L848" s="2">
        <v>7090265</v>
      </c>
      <c r="M848" s="2">
        <v>1743687</v>
      </c>
      <c r="N848" s="2">
        <v>0</v>
      </c>
      <c r="O848" s="2">
        <v>368431</v>
      </c>
      <c r="P848" t="s">
        <v>24</v>
      </c>
      <c r="Q848" t="s">
        <v>24</v>
      </c>
    </row>
    <row r="849" spans="1:17" x14ac:dyDescent="0.25">
      <c r="A849" t="s">
        <v>3631</v>
      </c>
      <c r="B849" t="s">
        <v>3632</v>
      </c>
      <c r="C849" s="1">
        <v>41275</v>
      </c>
      <c r="D849" s="1">
        <v>41639</v>
      </c>
      <c r="E849" t="s">
        <v>3633</v>
      </c>
      <c r="G849" t="s">
        <v>3634</v>
      </c>
      <c r="H849" t="s">
        <v>47</v>
      </c>
      <c r="I849" t="str">
        <f>"48134"</f>
        <v>48134</v>
      </c>
      <c r="J849" t="s">
        <v>22</v>
      </c>
      <c r="K849" t="s">
        <v>30</v>
      </c>
      <c r="L849" s="2">
        <v>7076791</v>
      </c>
      <c r="M849" s="2">
        <v>860482</v>
      </c>
      <c r="N849" s="2">
        <v>48823</v>
      </c>
      <c r="O849" s="2">
        <v>158262</v>
      </c>
      <c r="P849" t="s">
        <v>24</v>
      </c>
      <c r="Q849" t="s">
        <v>24</v>
      </c>
    </row>
    <row r="850" spans="1:17" x14ac:dyDescent="0.25">
      <c r="A850" t="s">
        <v>7375</v>
      </c>
      <c r="B850" t="s">
        <v>7376</v>
      </c>
      <c r="C850" s="1">
        <v>41275</v>
      </c>
      <c r="D850" s="1">
        <v>41639</v>
      </c>
      <c r="E850" t="s">
        <v>7377</v>
      </c>
      <c r="G850" t="s">
        <v>337</v>
      </c>
      <c r="H850" t="s">
        <v>62</v>
      </c>
      <c r="I850" t="str">
        <f>"44114"</f>
        <v>44114</v>
      </c>
      <c r="J850" t="s">
        <v>22</v>
      </c>
      <c r="K850" t="s">
        <v>30</v>
      </c>
      <c r="L850" s="2">
        <v>7073862</v>
      </c>
      <c r="M850" s="2">
        <v>2519103</v>
      </c>
      <c r="N850" s="2">
        <v>0</v>
      </c>
      <c r="O850" s="2">
        <v>254979</v>
      </c>
      <c r="P850" t="s">
        <v>24</v>
      </c>
      <c r="Q850" t="s">
        <v>24</v>
      </c>
    </row>
    <row r="851" spans="1:17" x14ac:dyDescent="0.25">
      <c r="A851" t="s">
        <v>2717</v>
      </c>
      <c r="B851" t="s">
        <v>2718</v>
      </c>
      <c r="C851" s="1">
        <v>41275</v>
      </c>
      <c r="D851" s="1">
        <v>41639</v>
      </c>
      <c r="E851" t="s">
        <v>50</v>
      </c>
      <c r="G851" t="s">
        <v>28</v>
      </c>
      <c r="H851" t="s">
        <v>29</v>
      </c>
      <c r="I851" t="str">
        <f>"60603"</f>
        <v>60603</v>
      </c>
      <c r="J851" t="s">
        <v>22</v>
      </c>
      <c r="K851" t="s">
        <v>23</v>
      </c>
      <c r="L851" s="2">
        <v>7066083</v>
      </c>
      <c r="M851" s="2">
        <v>2230463</v>
      </c>
      <c r="N851" s="2">
        <v>0</v>
      </c>
      <c r="O851" s="2">
        <v>219814</v>
      </c>
      <c r="P851" t="s">
        <v>24</v>
      </c>
      <c r="Q851" t="s">
        <v>24</v>
      </c>
    </row>
    <row r="852" spans="1:17" x14ac:dyDescent="0.25">
      <c r="A852" t="s">
        <v>6182</v>
      </c>
      <c r="B852" t="s">
        <v>6183</v>
      </c>
      <c r="C852" s="1">
        <v>41275</v>
      </c>
      <c r="D852" s="1">
        <v>41639</v>
      </c>
      <c r="E852" t="s">
        <v>6184</v>
      </c>
      <c r="G852" t="s">
        <v>6185</v>
      </c>
      <c r="H852" t="s">
        <v>47</v>
      </c>
      <c r="I852" t="str">
        <f>"48653"</f>
        <v>48653</v>
      </c>
      <c r="J852" t="s">
        <v>63</v>
      </c>
      <c r="K852" t="s">
        <v>64</v>
      </c>
      <c r="L852" s="2">
        <v>7053543</v>
      </c>
      <c r="M852" s="2">
        <v>657412</v>
      </c>
      <c r="N852" s="2">
        <v>241740</v>
      </c>
      <c r="O852" s="2">
        <v>449128</v>
      </c>
      <c r="P852" s="2">
        <v>193043</v>
      </c>
      <c r="Q852" s="2">
        <v>0</v>
      </c>
    </row>
    <row r="853" spans="1:17" x14ac:dyDescent="0.25">
      <c r="A853" t="s">
        <v>7085</v>
      </c>
      <c r="B853" t="s">
        <v>7086</v>
      </c>
      <c r="C853" s="1">
        <v>41275</v>
      </c>
      <c r="D853" s="1">
        <v>41639</v>
      </c>
      <c r="E853" t="s">
        <v>163</v>
      </c>
      <c r="G853" t="s">
        <v>28</v>
      </c>
      <c r="H853" t="s">
        <v>29</v>
      </c>
      <c r="I853" t="str">
        <f>"60603"</f>
        <v>60603</v>
      </c>
      <c r="J853" t="s">
        <v>22</v>
      </c>
      <c r="K853" t="s">
        <v>30</v>
      </c>
      <c r="L853" s="2">
        <v>7052909</v>
      </c>
      <c r="M853" s="2">
        <v>3289963</v>
      </c>
      <c r="N853" s="2">
        <v>0</v>
      </c>
      <c r="O853" s="2">
        <v>353176</v>
      </c>
      <c r="P853" t="s">
        <v>24</v>
      </c>
      <c r="Q853" t="s">
        <v>24</v>
      </c>
    </row>
    <row r="854" spans="1:17" x14ac:dyDescent="0.25">
      <c r="A854" t="s">
        <v>2439</v>
      </c>
      <c r="B854" t="s">
        <v>2440</v>
      </c>
      <c r="C854" s="1">
        <v>41275</v>
      </c>
      <c r="D854" s="1">
        <v>41639</v>
      </c>
      <c r="E854" t="s">
        <v>2441</v>
      </c>
      <c r="G854" t="s">
        <v>28</v>
      </c>
      <c r="H854" t="s">
        <v>29</v>
      </c>
      <c r="I854" t="str">
        <f>"60604"</f>
        <v>60604</v>
      </c>
      <c r="J854" t="s">
        <v>22</v>
      </c>
      <c r="K854" t="s">
        <v>30</v>
      </c>
      <c r="L854" s="2">
        <v>7050236</v>
      </c>
      <c r="M854" s="2">
        <v>329267</v>
      </c>
      <c r="N854" s="2">
        <v>0</v>
      </c>
      <c r="O854" s="2">
        <v>327257</v>
      </c>
      <c r="P854" t="s">
        <v>24</v>
      </c>
      <c r="Q854" t="s">
        <v>24</v>
      </c>
    </row>
    <row r="855" spans="1:17" x14ac:dyDescent="0.25">
      <c r="A855" t="s">
        <v>5727</v>
      </c>
      <c r="B855" t="s">
        <v>5728</v>
      </c>
      <c r="C855" s="1">
        <v>41275</v>
      </c>
      <c r="D855" s="1">
        <v>41639</v>
      </c>
      <c r="E855" t="s">
        <v>5729</v>
      </c>
      <c r="G855" t="s">
        <v>833</v>
      </c>
      <c r="H855" t="s">
        <v>29</v>
      </c>
      <c r="I855" t="str">
        <f>"61702"</f>
        <v>61702</v>
      </c>
      <c r="J855" t="s">
        <v>22</v>
      </c>
      <c r="K855" t="s">
        <v>79</v>
      </c>
      <c r="L855" s="2">
        <v>7050129</v>
      </c>
      <c r="M855" s="2">
        <v>1528644</v>
      </c>
      <c r="N855" s="2">
        <v>0</v>
      </c>
      <c r="O855" s="2">
        <v>750015</v>
      </c>
      <c r="P855" t="s">
        <v>24</v>
      </c>
      <c r="Q855" t="s">
        <v>24</v>
      </c>
    </row>
    <row r="856" spans="1:17" x14ac:dyDescent="0.25">
      <c r="A856" t="s">
        <v>2930</v>
      </c>
      <c r="B856" t="s">
        <v>2931</v>
      </c>
      <c r="C856" s="1">
        <v>41306</v>
      </c>
      <c r="D856" s="1">
        <v>41670</v>
      </c>
      <c r="E856" t="s">
        <v>2932</v>
      </c>
      <c r="G856" t="s">
        <v>1111</v>
      </c>
      <c r="H856" t="s">
        <v>47</v>
      </c>
      <c r="I856" t="str">
        <f>"48304"</f>
        <v>48304</v>
      </c>
      <c r="J856" t="s">
        <v>22</v>
      </c>
      <c r="K856" t="s">
        <v>23</v>
      </c>
      <c r="L856" s="2">
        <v>7035770</v>
      </c>
      <c r="M856" s="2">
        <v>270872</v>
      </c>
      <c r="N856" s="2">
        <v>0</v>
      </c>
      <c r="O856" s="2">
        <v>326676</v>
      </c>
      <c r="P856" t="s">
        <v>24</v>
      </c>
      <c r="Q856" t="s">
        <v>24</v>
      </c>
    </row>
    <row r="857" spans="1:17" x14ac:dyDescent="0.25">
      <c r="A857" t="s">
        <v>1969</v>
      </c>
      <c r="B857" t="s">
        <v>1970</v>
      </c>
      <c r="C857" s="1">
        <v>41275</v>
      </c>
      <c r="D857" s="1">
        <v>41639</v>
      </c>
      <c r="E857" t="s">
        <v>1971</v>
      </c>
      <c r="G857" t="s">
        <v>1972</v>
      </c>
      <c r="H857" t="s">
        <v>62</v>
      </c>
      <c r="I857" t="str">
        <f>"44136"</f>
        <v>44136</v>
      </c>
      <c r="J857" t="s">
        <v>63</v>
      </c>
      <c r="K857" t="s">
        <v>30</v>
      </c>
      <c r="L857" s="2">
        <v>7026772</v>
      </c>
      <c r="M857" s="2">
        <v>353499</v>
      </c>
      <c r="N857" s="2">
        <v>0</v>
      </c>
      <c r="O857" s="2">
        <v>27115</v>
      </c>
      <c r="P857" s="2">
        <v>0</v>
      </c>
      <c r="Q857" s="2">
        <v>27115</v>
      </c>
    </row>
    <row r="858" spans="1:17" x14ac:dyDescent="0.25">
      <c r="A858" t="s">
        <v>2773</v>
      </c>
      <c r="B858" t="s">
        <v>2774</v>
      </c>
      <c r="C858" s="1">
        <v>41275</v>
      </c>
      <c r="D858" s="1">
        <v>41639</v>
      </c>
      <c r="E858" t="s">
        <v>2775</v>
      </c>
      <c r="G858" t="s">
        <v>2776</v>
      </c>
      <c r="H858" t="s">
        <v>29</v>
      </c>
      <c r="I858" t="str">
        <f>"60964"</f>
        <v>60964</v>
      </c>
      <c r="J858" t="s">
        <v>22</v>
      </c>
      <c r="K858" t="s">
        <v>91</v>
      </c>
      <c r="L858" s="2">
        <v>7016458</v>
      </c>
      <c r="M858" s="2">
        <v>1597784</v>
      </c>
      <c r="N858" s="2">
        <v>0</v>
      </c>
      <c r="O858" s="2">
        <v>251060</v>
      </c>
      <c r="P858" t="s">
        <v>24</v>
      </c>
      <c r="Q858" t="s">
        <v>24</v>
      </c>
    </row>
    <row r="859" spans="1:17" x14ac:dyDescent="0.25">
      <c r="A859" t="s">
        <v>2250</v>
      </c>
      <c r="B859" t="s">
        <v>2251</v>
      </c>
      <c r="C859" s="1">
        <v>41275</v>
      </c>
      <c r="D859" s="1">
        <v>41639</v>
      </c>
      <c r="E859" t="s">
        <v>2252</v>
      </c>
      <c r="G859" t="s">
        <v>2253</v>
      </c>
      <c r="H859" t="s">
        <v>62</v>
      </c>
      <c r="I859" t="str">
        <f>"44240"</f>
        <v>44240</v>
      </c>
      <c r="J859" t="s">
        <v>63</v>
      </c>
      <c r="K859" t="s">
        <v>30</v>
      </c>
      <c r="L859" s="2">
        <v>7006127</v>
      </c>
      <c r="M859" s="2">
        <v>1097336</v>
      </c>
      <c r="N859" s="2">
        <v>1747544</v>
      </c>
      <c r="O859" s="2">
        <v>584373</v>
      </c>
      <c r="P859" s="2">
        <v>121507</v>
      </c>
      <c r="Q859" s="2">
        <v>25582</v>
      </c>
    </row>
    <row r="860" spans="1:17" x14ac:dyDescent="0.25">
      <c r="A860" t="s">
        <v>3834</v>
      </c>
      <c r="B860" t="s">
        <v>3835</v>
      </c>
      <c r="C860" s="1">
        <v>41275</v>
      </c>
      <c r="D860" s="1">
        <v>41639</v>
      </c>
      <c r="E860" t="s">
        <v>3836</v>
      </c>
      <c r="G860" t="s">
        <v>3837</v>
      </c>
      <c r="H860" t="s">
        <v>42</v>
      </c>
      <c r="I860" t="str">
        <f>"53140"</f>
        <v>53140</v>
      </c>
      <c r="J860" t="s">
        <v>63</v>
      </c>
      <c r="K860" t="s">
        <v>64</v>
      </c>
      <c r="L860" s="2">
        <v>7003436</v>
      </c>
      <c r="M860" s="2">
        <v>793590</v>
      </c>
      <c r="N860" s="2">
        <v>1518243</v>
      </c>
      <c r="O860" s="2">
        <v>555723</v>
      </c>
      <c r="P860" s="2">
        <v>166553</v>
      </c>
      <c r="Q860" s="2">
        <v>0</v>
      </c>
    </row>
    <row r="861" spans="1:17" x14ac:dyDescent="0.25">
      <c r="A861" t="s">
        <v>7689</v>
      </c>
      <c r="B861" t="s">
        <v>7690</v>
      </c>
      <c r="C861" s="1">
        <v>41275</v>
      </c>
      <c r="D861" s="1">
        <v>41639</v>
      </c>
      <c r="E861" t="s">
        <v>7691</v>
      </c>
      <c r="G861" t="s">
        <v>7692</v>
      </c>
      <c r="H861" t="s">
        <v>21</v>
      </c>
      <c r="I861" t="str">
        <f>"46151"</f>
        <v>46151</v>
      </c>
      <c r="J861" t="s">
        <v>63</v>
      </c>
      <c r="K861" t="s">
        <v>64</v>
      </c>
      <c r="L861" s="2">
        <v>6981178</v>
      </c>
      <c r="M861" s="2">
        <v>1800100</v>
      </c>
      <c r="N861" s="2">
        <v>950727</v>
      </c>
      <c r="O861" s="2">
        <v>1330980</v>
      </c>
      <c r="P861" s="2">
        <v>293337</v>
      </c>
      <c r="Q861" s="2">
        <v>83003</v>
      </c>
    </row>
    <row r="862" spans="1:17" x14ac:dyDescent="0.25">
      <c r="A862" t="s">
        <v>4045</v>
      </c>
      <c r="B862" t="s">
        <v>4046</v>
      </c>
      <c r="C862" s="1">
        <v>41275</v>
      </c>
      <c r="D862" s="1">
        <v>41639</v>
      </c>
      <c r="E862" t="s">
        <v>4047</v>
      </c>
      <c r="G862" t="s">
        <v>627</v>
      </c>
      <c r="H862" t="s">
        <v>29</v>
      </c>
      <c r="I862" t="str">
        <f>"60201"</f>
        <v>60201</v>
      </c>
      <c r="J862" t="s">
        <v>22</v>
      </c>
      <c r="K862" t="s">
        <v>23</v>
      </c>
      <c r="L862" s="2">
        <v>6977639</v>
      </c>
      <c r="M862" s="2">
        <v>531528</v>
      </c>
      <c r="N862" s="2">
        <v>320</v>
      </c>
      <c r="O862" s="2">
        <v>334027</v>
      </c>
      <c r="P862" t="s">
        <v>24</v>
      </c>
      <c r="Q862" t="s">
        <v>24</v>
      </c>
    </row>
    <row r="863" spans="1:17" x14ac:dyDescent="0.25">
      <c r="A863" t="s">
        <v>7640</v>
      </c>
      <c r="B863" t="s">
        <v>7641</v>
      </c>
      <c r="C863" s="1">
        <v>41275</v>
      </c>
      <c r="D863" s="1">
        <v>41639</v>
      </c>
      <c r="E863" t="s">
        <v>7642</v>
      </c>
      <c r="G863" t="s">
        <v>28</v>
      </c>
      <c r="H863" t="s">
        <v>29</v>
      </c>
      <c r="I863" t="str">
        <f>"60606"</f>
        <v>60606</v>
      </c>
      <c r="J863" t="s">
        <v>22</v>
      </c>
      <c r="K863" t="s">
        <v>23</v>
      </c>
      <c r="L863" s="2">
        <v>6969214</v>
      </c>
      <c r="M863" s="2">
        <v>1402460</v>
      </c>
      <c r="N863" s="2">
        <v>0</v>
      </c>
      <c r="O863" s="2">
        <v>403374</v>
      </c>
      <c r="P863" t="s">
        <v>24</v>
      </c>
      <c r="Q863" t="s">
        <v>24</v>
      </c>
    </row>
    <row r="864" spans="1:17" x14ac:dyDescent="0.25">
      <c r="A864" t="s">
        <v>4033</v>
      </c>
      <c r="B864" t="s">
        <v>4034</v>
      </c>
      <c r="C864" s="1">
        <v>41091</v>
      </c>
      <c r="D864" s="1">
        <v>41455</v>
      </c>
      <c r="E864" t="s">
        <v>475</v>
      </c>
      <c r="G864" t="s">
        <v>28</v>
      </c>
      <c r="H864" t="s">
        <v>29</v>
      </c>
      <c r="I864" t="str">
        <f>"60606"</f>
        <v>60606</v>
      </c>
      <c r="J864" t="s">
        <v>63</v>
      </c>
      <c r="K864" t="s">
        <v>30</v>
      </c>
      <c r="L864" s="2">
        <v>6931089</v>
      </c>
      <c r="M864" s="2">
        <v>672713</v>
      </c>
      <c r="N864" s="2">
        <v>6883844</v>
      </c>
      <c r="O864" s="2">
        <v>95421</v>
      </c>
      <c r="P864" s="2">
        <v>34421</v>
      </c>
      <c r="Q864" s="2">
        <v>0</v>
      </c>
    </row>
    <row r="865" spans="1:17" x14ac:dyDescent="0.25">
      <c r="A865" t="s">
        <v>5837</v>
      </c>
      <c r="B865" t="s">
        <v>5838</v>
      </c>
      <c r="C865" s="1">
        <v>41275</v>
      </c>
      <c r="D865" s="1">
        <v>41639</v>
      </c>
      <c r="E865" t="s">
        <v>5839</v>
      </c>
      <c r="G865" t="s">
        <v>4359</v>
      </c>
      <c r="H865" t="s">
        <v>62</v>
      </c>
      <c r="I865" t="str">
        <f>"43537"</f>
        <v>43537</v>
      </c>
      <c r="J865" t="s">
        <v>22</v>
      </c>
      <c r="K865" t="s">
        <v>23</v>
      </c>
      <c r="L865" s="2">
        <v>6915835</v>
      </c>
      <c r="M865" s="2">
        <v>4171655</v>
      </c>
      <c r="N865" s="2">
        <v>0</v>
      </c>
      <c r="O865" s="2">
        <v>1191941</v>
      </c>
      <c r="P865" t="s">
        <v>24</v>
      </c>
      <c r="Q865" t="s">
        <v>24</v>
      </c>
    </row>
    <row r="866" spans="1:17" x14ac:dyDescent="0.25">
      <c r="A866" t="s">
        <v>4256</v>
      </c>
      <c r="B866" t="s">
        <v>4257</v>
      </c>
      <c r="C866" s="1">
        <v>41275</v>
      </c>
      <c r="D866" s="1">
        <v>41639</v>
      </c>
      <c r="E866" t="s">
        <v>4258</v>
      </c>
      <c r="G866" t="s">
        <v>1028</v>
      </c>
      <c r="H866" t="s">
        <v>47</v>
      </c>
      <c r="I866" t="str">
        <f>"48104"</f>
        <v>48104</v>
      </c>
      <c r="J866" t="s">
        <v>22</v>
      </c>
      <c r="K866" t="s">
        <v>23</v>
      </c>
      <c r="L866" s="2">
        <v>6914260</v>
      </c>
      <c r="M866" s="2">
        <v>1598291</v>
      </c>
      <c r="N866" s="2">
        <v>12571</v>
      </c>
      <c r="O866" s="2">
        <v>510754</v>
      </c>
      <c r="P866" t="s">
        <v>24</v>
      </c>
      <c r="Q866" t="s">
        <v>24</v>
      </c>
    </row>
    <row r="867" spans="1:17" x14ac:dyDescent="0.25">
      <c r="A867" t="s">
        <v>6192</v>
      </c>
      <c r="B867" t="s">
        <v>6193</v>
      </c>
      <c r="C867" s="1">
        <v>41275</v>
      </c>
      <c r="D867" s="1">
        <v>41639</v>
      </c>
      <c r="E867" t="s">
        <v>104</v>
      </c>
      <c r="G867" t="s">
        <v>28</v>
      </c>
      <c r="H867" t="s">
        <v>29</v>
      </c>
      <c r="I867" t="str">
        <f>"60680"</f>
        <v>60680</v>
      </c>
      <c r="J867" t="s">
        <v>22</v>
      </c>
      <c r="K867" t="s">
        <v>23</v>
      </c>
      <c r="L867" s="2">
        <v>6913755</v>
      </c>
      <c r="M867" s="2">
        <v>3646434</v>
      </c>
      <c r="N867" s="2">
        <v>0</v>
      </c>
      <c r="O867" s="2">
        <v>333953</v>
      </c>
      <c r="P867" t="s">
        <v>24</v>
      </c>
      <c r="Q867" t="s">
        <v>24</v>
      </c>
    </row>
    <row r="868" spans="1:17" x14ac:dyDescent="0.25">
      <c r="A868" t="s">
        <v>185</v>
      </c>
      <c r="B868" t="s">
        <v>186</v>
      </c>
      <c r="C868" s="1">
        <v>41275</v>
      </c>
      <c r="D868" s="1">
        <v>41639</v>
      </c>
      <c r="E868" t="s">
        <v>187</v>
      </c>
      <c r="G868" t="s">
        <v>143</v>
      </c>
      <c r="H868" t="s">
        <v>47</v>
      </c>
      <c r="I868" t="str">
        <f>"48226"</f>
        <v>48226</v>
      </c>
      <c r="J868" t="s">
        <v>22</v>
      </c>
      <c r="K868" t="s">
        <v>30</v>
      </c>
      <c r="L868" s="2">
        <v>6908687</v>
      </c>
      <c r="M868" s="2">
        <v>2905832</v>
      </c>
      <c r="N868" s="2">
        <v>1187</v>
      </c>
      <c r="O868" s="2">
        <v>365333</v>
      </c>
      <c r="P868" t="s">
        <v>24</v>
      </c>
      <c r="Q868" t="s">
        <v>24</v>
      </c>
    </row>
    <row r="869" spans="1:17" x14ac:dyDescent="0.25">
      <c r="A869" t="s">
        <v>3150</v>
      </c>
      <c r="B869" t="s">
        <v>3151</v>
      </c>
      <c r="C869" s="1">
        <v>41426</v>
      </c>
      <c r="D869" s="1">
        <v>41790</v>
      </c>
      <c r="E869" t="s">
        <v>3152</v>
      </c>
      <c r="G869" t="s">
        <v>20</v>
      </c>
      <c r="H869" t="s">
        <v>21</v>
      </c>
      <c r="I869" t="str">
        <f>"46204"</f>
        <v>46204</v>
      </c>
      <c r="J869" t="s">
        <v>22</v>
      </c>
      <c r="K869" t="s">
        <v>23</v>
      </c>
      <c r="L869" s="2">
        <v>6908345</v>
      </c>
      <c r="M869" s="2">
        <v>329395</v>
      </c>
      <c r="N869" s="2">
        <v>1928416</v>
      </c>
      <c r="O869" s="2">
        <v>410296</v>
      </c>
      <c r="P869" t="s">
        <v>24</v>
      </c>
      <c r="Q869" t="s">
        <v>24</v>
      </c>
    </row>
    <row r="870" spans="1:17" x14ac:dyDescent="0.25">
      <c r="A870" t="s">
        <v>7227</v>
      </c>
      <c r="B870" t="s">
        <v>7228</v>
      </c>
      <c r="C870" s="1">
        <v>41275</v>
      </c>
      <c r="D870" s="1">
        <v>41639</v>
      </c>
      <c r="E870" t="s">
        <v>7229</v>
      </c>
      <c r="G870" t="s">
        <v>1625</v>
      </c>
      <c r="H870" t="s">
        <v>42</v>
      </c>
      <c r="I870" t="str">
        <f>"53008"</f>
        <v>53008</v>
      </c>
      <c r="J870" t="s">
        <v>22</v>
      </c>
      <c r="K870" t="s">
        <v>23</v>
      </c>
      <c r="L870" s="2">
        <v>6885870</v>
      </c>
      <c r="M870" s="2">
        <v>2266192</v>
      </c>
      <c r="N870" s="2">
        <v>0</v>
      </c>
      <c r="O870" s="2">
        <v>288115</v>
      </c>
      <c r="P870" t="s">
        <v>24</v>
      </c>
      <c r="Q870" t="s">
        <v>24</v>
      </c>
    </row>
    <row r="871" spans="1:17" x14ac:dyDescent="0.25">
      <c r="A871" t="s">
        <v>894</v>
      </c>
      <c r="B871" t="s">
        <v>895</v>
      </c>
      <c r="C871" s="1">
        <v>41275</v>
      </c>
      <c r="D871" s="1">
        <v>41639</v>
      </c>
      <c r="E871" t="s">
        <v>896</v>
      </c>
      <c r="G871" t="s">
        <v>28</v>
      </c>
      <c r="H871" t="s">
        <v>29</v>
      </c>
      <c r="I871" t="str">
        <f>"60611"</f>
        <v>60611</v>
      </c>
      <c r="J871" t="s">
        <v>22</v>
      </c>
      <c r="K871" t="s">
        <v>30</v>
      </c>
      <c r="L871" s="2">
        <v>6875670</v>
      </c>
      <c r="M871" s="2">
        <v>2469267</v>
      </c>
      <c r="N871" s="2">
        <v>5876</v>
      </c>
      <c r="O871" s="2">
        <v>269403</v>
      </c>
      <c r="P871" t="s">
        <v>24</v>
      </c>
      <c r="Q871" t="s">
        <v>24</v>
      </c>
    </row>
    <row r="872" spans="1:17" x14ac:dyDescent="0.25">
      <c r="A872" t="s">
        <v>540</v>
      </c>
      <c r="B872" t="s">
        <v>541</v>
      </c>
      <c r="C872" s="1">
        <v>41275</v>
      </c>
      <c r="D872" s="1">
        <v>41639</v>
      </c>
      <c r="E872" t="s">
        <v>542</v>
      </c>
      <c r="G872" t="s">
        <v>543</v>
      </c>
      <c r="H872" t="s">
        <v>62</v>
      </c>
      <c r="I872" t="str">
        <f>"43920"</f>
        <v>43920</v>
      </c>
      <c r="J872" t="s">
        <v>22</v>
      </c>
      <c r="K872" t="s">
        <v>23</v>
      </c>
      <c r="L872" s="2">
        <v>6875361</v>
      </c>
      <c r="M872" s="2">
        <v>2487615</v>
      </c>
      <c r="N872" s="2">
        <v>0</v>
      </c>
      <c r="O872" s="2">
        <v>400547</v>
      </c>
      <c r="P872" t="s">
        <v>24</v>
      </c>
      <c r="Q872" t="s">
        <v>24</v>
      </c>
    </row>
    <row r="873" spans="1:17" x14ac:dyDescent="0.25">
      <c r="A873" t="s">
        <v>4270</v>
      </c>
      <c r="B873" t="s">
        <v>4271</v>
      </c>
      <c r="C873" s="1">
        <v>41365</v>
      </c>
      <c r="D873" s="1">
        <v>41729</v>
      </c>
      <c r="E873" t="s">
        <v>4272</v>
      </c>
      <c r="G873" t="s">
        <v>4273</v>
      </c>
      <c r="H873" t="s">
        <v>47</v>
      </c>
      <c r="I873" t="str">
        <f>"49930"</f>
        <v>49930</v>
      </c>
      <c r="J873" t="s">
        <v>63</v>
      </c>
      <c r="K873" t="s">
        <v>64</v>
      </c>
      <c r="L873" s="2">
        <v>6870535</v>
      </c>
      <c r="M873" s="2">
        <v>540898</v>
      </c>
      <c r="N873" s="2">
        <v>968897</v>
      </c>
      <c r="O873" s="2">
        <v>264597</v>
      </c>
      <c r="P873" s="2">
        <v>115477</v>
      </c>
      <c r="Q873" s="2">
        <v>27632</v>
      </c>
    </row>
    <row r="874" spans="1:17" x14ac:dyDescent="0.25">
      <c r="A874" t="s">
        <v>4136</v>
      </c>
      <c r="B874" t="s">
        <v>4137</v>
      </c>
      <c r="C874" s="1">
        <v>41275</v>
      </c>
      <c r="D874" s="1">
        <v>41639</v>
      </c>
      <c r="E874" t="s">
        <v>4138</v>
      </c>
      <c r="G874" t="s">
        <v>4139</v>
      </c>
      <c r="H874" t="s">
        <v>47</v>
      </c>
      <c r="I874" t="str">
        <f>"49660"</f>
        <v>49660</v>
      </c>
      <c r="J874" t="s">
        <v>22</v>
      </c>
      <c r="K874" t="s">
        <v>23</v>
      </c>
      <c r="L874" s="2">
        <v>6865873</v>
      </c>
      <c r="M874" s="2">
        <v>149080</v>
      </c>
      <c r="N874" s="2">
        <v>0</v>
      </c>
      <c r="O874" s="2">
        <v>772881</v>
      </c>
      <c r="P874" t="s">
        <v>24</v>
      </c>
      <c r="Q874" t="s">
        <v>24</v>
      </c>
    </row>
    <row r="875" spans="1:17" x14ac:dyDescent="0.25">
      <c r="A875" t="s">
        <v>6497</v>
      </c>
      <c r="B875" t="s">
        <v>6498</v>
      </c>
      <c r="C875" s="1">
        <v>41275</v>
      </c>
      <c r="D875" s="1">
        <v>41639</v>
      </c>
      <c r="E875" t="s">
        <v>320</v>
      </c>
      <c r="G875" t="s">
        <v>139</v>
      </c>
      <c r="H875" t="s">
        <v>47</v>
      </c>
      <c r="I875" t="str">
        <f>"49501"</f>
        <v>49501</v>
      </c>
      <c r="J875" t="s">
        <v>22</v>
      </c>
      <c r="K875" t="s">
        <v>30</v>
      </c>
      <c r="L875" s="2">
        <v>6857523</v>
      </c>
      <c r="M875" s="2">
        <v>1948855</v>
      </c>
      <c r="N875" s="2">
        <v>0</v>
      </c>
      <c r="O875" s="2">
        <v>447238</v>
      </c>
      <c r="P875" t="s">
        <v>24</v>
      </c>
      <c r="Q875" t="s">
        <v>24</v>
      </c>
    </row>
    <row r="876" spans="1:17" x14ac:dyDescent="0.25">
      <c r="A876" t="s">
        <v>2944</v>
      </c>
      <c r="B876" t="s">
        <v>2945</v>
      </c>
      <c r="C876" s="1">
        <v>41275</v>
      </c>
      <c r="D876" s="1">
        <v>41639</v>
      </c>
      <c r="E876" t="s">
        <v>2946</v>
      </c>
      <c r="G876" t="s">
        <v>1625</v>
      </c>
      <c r="H876" t="s">
        <v>42</v>
      </c>
      <c r="I876" t="str">
        <f>"53005"</f>
        <v>53005</v>
      </c>
      <c r="J876" t="s">
        <v>63</v>
      </c>
      <c r="K876" t="s">
        <v>79</v>
      </c>
      <c r="L876" s="2">
        <v>6841341</v>
      </c>
      <c r="M876" s="2">
        <v>697653</v>
      </c>
      <c r="N876" s="2">
        <v>40117</v>
      </c>
      <c r="O876" s="2">
        <v>609148</v>
      </c>
      <c r="P876" s="2">
        <v>267609</v>
      </c>
      <c r="Q876" s="2">
        <v>85993</v>
      </c>
    </row>
    <row r="877" spans="1:17" x14ac:dyDescent="0.25">
      <c r="A877" t="s">
        <v>7261</v>
      </c>
      <c r="B877" t="s">
        <v>7262</v>
      </c>
      <c r="C877" s="1">
        <v>41275</v>
      </c>
      <c r="D877" s="1">
        <v>41639</v>
      </c>
      <c r="E877" t="s">
        <v>7263</v>
      </c>
      <c r="G877" t="s">
        <v>7264</v>
      </c>
      <c r="H877" t="s">
        <v>62</v>
      </c>
      <c r="I877" t="str">
        <f>"44515"</f>
        <v>44515</v>
      </c>
      <c r="J877" t="s">
        <v>22</v>
      </c>
      <c r="K877" t="s">
        <v>30</v>
      </c>
      <c r="L877" s="2">
        <v>6836349</v>
      </c>
      <c r="M877" s="2">
        <v>1833556</v>
      </c>
      <c r="N877" s="2">
        <v>0</v>
      </c>
      <c r="O877" s="2">
        <v>290344</v>
      </c>
      <c r="P877" t="s">
        <v>24</v>
      </c>
      <c r="Q877" t="s">
        <v>24</v>
      </c>
    </row>
    <row r="878" spans="1:17" x14ac:dyDescent="0.25">
      <c r="A878" t="s">
        <v>6697</v>
      </c>
      <c r="B878" t="s">
        <v>6698</v>
      </c>
      <c r="C878" s="1">
        <v>41275</v>
      </c>
      <c r="D878" s="1">
        <v>41639</v>
      </c>
      <c r="E878" t="s">
        <v>6699</v>
      </c>
      <c r="G878" t="s">
        <v>28</v>
      </c>
      <c r="H878" t="s">
        <v>29</v>
      </c>
      <c r="I878" t="str">
        <f>"60606"</f>
        <v>60606</v>
      </c>
      <c r="J878" t="s">
        <v>22</v>
      </c>
      <c r="K878" t="s">
        <v>23</v>
      </c>
      <c r="L878" s="2">
        <v>6835004</v>
      </c>
      <c r="M878" s="2">
        <v>8251567</v>
      </c>
      <c r="N878" s="2">
        <v>0</v>
      </c>
      <c r="O878" s="2">
        <v>773449</v>
      </c>
      <c r="P878" t="s">
        <v>24</v>
      </c>
      <c r="Q878" t="s">
        <v>24</v>
      </c>
    </row>
    <row r="879" spans="1:17" x14ac:dyDescent="0.25">
      <c r="A879" t="s">
        <v>830</v>
      </c>
      <c r="B879" t="s">
        <v>831</v>
      </c>
      <c r="C879" s="1">
        <v>41275</v>
      </c>
      <c r="D879" s="1">
        <v>41639</v>
      </c>
      <c r="E879" t="s">
        <v>832</v>
      </c>
      <c r="G879" t="s">
        <v>833</v>
      </c>
      <c r="H879" t="s">
        <v>29</v>
      </c>
      <c r="I879" t="str">
        <f>"61701"</f>
        <v>61701</v>
      </c>
      <c r="J879" t="s">
        <v>22</v>
      </c>
      <c r="K879" t="s">
        <v>23</v>
      </c>
      <c r="L879" s="2">
        <v>6831433</v>
      </c>
      <c r="M879" s="2">
        <v>461420</v>
      </c>
      <c r="N879" s="2">
        <v>3639</v>
      </c>
      <c r="O879" s="2">
        <v>217888</v>
      </c>
      <c r="P879" t="s">
        <v>24</v>
      </c>
      <c r="Q879" t="s">
        <v>24</v>
      </c>
    </row>
    <row r="880" spans="1:17" x14ac:dyDescent="0.25">
      <c r="A880" t="s">
        <v>1615</v>
      </c>
      <c r="B880" t="s">
        <v>1616</v>
      </c>
      <c r="C880" s="1">
        <v>41091</v>
      </c>
      <c r="D880" s="1">
        <v>41455</v>
      </c>
      <c r="E880" t="s">
        <v>1617</v>
      </c>
      <c r="G880" t="s">
        <v>357</v>
      </c>
      <c r="H880" t="s">
        <v>21</v>
      </c>
      <c r="I880" t="str">
        <f>"46802"</f>
        <v>46802</v>
      </c>
      <c r="J880" t="s">
        <v>22</v>
      </c>
      <c r="K880" t="s">
        <v>30</v>
      </c>
      <c r="L880" s="2">
        <v>6828552</v>
      </c>
      <c r="M880" s="2">
        <v>2297029</v>
      </c>
      <c r="N880" s="2">
        <v>0</v>
      </c>
      <c r="O880" s="2">
        <v>473451</v>
      </c>
      <c r="P880" t="s">
        <v>24</v>
      </c>
      <c r="Q880" t="s">
        <v>24</v>
      </c>
    </row>
    <row r="881" spans="1:17" x14ac:dyDescent="0.25">
      <c r="A881" t="s">
        <v>1131</v>
      </c>
      <c r="B881" t="s">
        <v>1132</v>
      </c>
      <c r="C881" s="1">
        <v>41214</v>
      </c>
      <c r="D881" s="1">
        <v>41578</v>
      </c>
      <c r="E881" t="s">
        <v>1133</v>
      </c>
      <c r="G881" t="s">
        <v>1134</v>
      </c>
      <c r="H881" t="s">
        <v>21</v>
      </c>
      <c r="I881" t="str">
        <f>"47130"</f>
        <v>47130</v>
      </c>
      <c r="J881" t="s">
        <v>22</v>
      </c>
      <c r="K881" t="s">
        <v>91</v>
      </c>
      <c r="L881" s="2">
        <v>6826746</v>
      </c>
      <c r="M881" s="2">
        <v>4129860</v>
      </c>
      <c r="N881" s="2">
        <v>0</v>
      </c>
      <c r="O881" s="2">
        <v>691335</v>
      </c>
      <c r="P881" t="s">
        <v>24</v>
      </c>
      <c r="Q881" t="s">
        <v>24</v>
      </c>
    </row>
    <row r="882" spans="1:17" x14ac:dyDescent="0.25">
      <c r="A882" t="s">
        <v>128</v>
      </c>
      <c r="B882" t="s">
        <v>129</v>
      </c>
      <c r="C882" s="1">
        <v>41518</v>
      </c>
      <c r="D882" s="1">
        <v>41882</v>
      </c>
      <c r="E882" t="s">
        <v>130</v>
      </c>
      <c r="G882" t="s">
        <v>28</v>
      </c>
      <c r="H882" t="s">
        <v>29</v>
      </c>
      <c r="I882" t="str">
        <f>"60642"</f>
        <v>60642</v>
      </c>
      <c r="J882" t="s">
        <v>22</v>
      </c>
      <c r="K882" t="s">
        <v>30</v>
      </c>
      <c r="L882" s="2">
        <v>6826303</v>
      </c>
      <c r="M882" s="2">
        <v>4759759</v>
      </c>
      <c r="N882" s="2">
        <v>0</v>
      </c>
      <c r="O882" s="2">
        <v>1347382</v>
      </c>
      <c r="P882" t="s">
        <v>24</v>
      </c>
      <c r="Q882" t="s">
        <v>24</v>
      </c>
    </row>
    <row r="883" spans="1:17" x14ac:dyDescent="0.25">
      <c r="A883" t="s">
        <v>5898</v>
      </c>
      <c r="B883" t="s">
        <v>5899</v>
      </c>
      <c r="C883" s="1">
        <v>41275</v>
      </c>
      <c r="D883" s="1">
        <v>41639</v>
      </c>
      <c r="E883" t="s">
        <v>2830</v>
      </c>
      <c r="G883" t="s">
        <v>28</v>
      </c>
      <c r="H883" t="s">
        <v>29</v>
      </c>
      <c r="I883" t="str">
        <f>"60603"</f>
        <v>60603</v>
      </c>
      <c r="J883" t="s">
        <v>22</v>
      </c>
      <c r="K883" t="s">
        <v>23</v>
      </c>
      <c r="L883" s="2">
        <v>6815353</v>
      </c>
      <c r="M883" s="2">
        <v>3106079</v>
      </c>
      <c r="N883" s="2">
        <v>0</v>
      </c>
      <c r="O883" s="2">
        <v>395642</v>
      </c>
      <c r="P883" t="s">
        <v>24</v>
      </c>
      <c r="Q883" t="s">
        <v>24</v>
      </c>
    </row>
    <row r="884" spans="1:17" x14ac:dyDescent="0.25">
      <c r="A884" t="s">
        <v>4860</v>
      </c>
      <c r="B884" t="s">
        <v>4861</v>
      </c>
      <c r="C884" s="1">
        <v>40909</v>
      </c>
      <c r="D884" s="1">
        <v>41274</v>
      </c>
      <c r="E884" t="s">
        <v>556</v>
      </c>
      <c r="G884" t="s">
        <v>167</v>
      </c>
      <c r="H884" t="s">
        <v>62</v>
      </c>
      <c r="I884" t="str">
        <f>"45201"</f>
        <v>45201</v>
      </c>
      <c r="J884" t="s">
        <v>22</v>
      </c>
      <c r="K884" t="s">
        <v>23</v>
      </c>
      <c r="L884" s="2">
        <v>6790843</v>
      </c>
      <c r="M884" s="2">
        <v>5908364</v>
      </c>
      <c r="N884" s="2">
        <v>0</v>
      </c>
      <c r="O884" s="2">
        <v>172804</v>
      </c>
      <c r="P884" t="s">
        <v>24</v>
      </c>
      <c r="Q884" t="s">
        <v>24</v>
      </c>
    </row>
    <row r="885" spans="1:17" x14ac:dyDescent="0.25">
      <c r="A885" t="s">
        <v>2699</v>
      </c>
      <c r="B885" t="s">
        <v>2700</v>
      </c>
      <c r="C885" s="1">
        <v>41275</v>
      </c>
      <c r="D885" s="1">
        <v>41639</v>
      </c>
      <c r="E885" t="s">
        <v>2701</v>
      </c>
      <c r="G885" t="s">
        <v>28</v>
      </c>
      <c r="H885" t="s">
        <v>29</v>
      </c>
      <c r="I885" t="str">
        <f>"60611"</f>
        <v>60611</v>
      </c>
      <c r="J885" t="s">
        <v>22</v>
      </c>
      <c r="K885" t="s">
        <v>30</v>
      </c>
      <c r="L885" s="2">
        <v>6744752</v>
      </c>
      <c r="M885" s="2">
        <v>1138476</v>
      </c>
      <c r="N885" s="2">
        <v>1208245</v>
      </c>
      <c r="O885" s="2">
        <v>785154</v>
      </c>
      <c r="P885" t="s">
        <v>24</v>
      </c>
      <c r="Q885" t="s">
        <v>24</v>
      </c>
    </row>
    <row r="886" spans="1:17" x14ac:dyDescent="0.25">
      <c r="A886" t="s">
        <v>2901</v>
      </c>
      <c r="B886" t="s">
        <v>2902</v>
      </c>
      <c r="C886" s="1">
        <v>41183</v>
      </c>
      <c r="D886" s="1">
        <v>41547</v>
      </c>
      <c r="E886" t="s">
        <v>104</v>
      </c>
      <c r="G886" t="s">
        <v>28</v>
      </c>
      <c r="H886" t="s">
        <v>29</v>
      </c>
      <c r="I886" t="str">
        <f>"60680"</f>
        <v>60680</v>
      </c>
      <c r="J886" t="s">
        <v>22</v>
      </c>
      <c r="K886" t="s">
        <v>91</v>
      </c>
      <c r="L886" s="2">
        <v>6744253</v>
      </c>
      <c r="M886" s="2">
        <v>84381</v>
      </c>
      <c r="N886" s="2">
        <v>0</v>
      </c>
      <c r="O886" s="2">
        <v>3023115</v>
      </c>
      <c r="P886" t="s">
        <v>24</v>
      </c>
      <c r="Q886" t="s">
        <v>24</v>
      </c>
    </row>
    <row r="887" spans="1:17" x14ac:dyDescent="0.25">
      <c r="A887" t="s">
        <v>3659</v>
      </c>
      <c r="B887" t="s">
        <v>3660</v>
      </c>
      <c r="C887" s="1">
        <v>41275</v>
      </c>
      <c r="D887" s="1">
        <v>41639</v>
      </c>
      <c r="E887" t="s">
        <v>3661</v>
      </c>
      <c r="G887" t="s">
        <v>28</v>
      </c>
      <c r="H887" t="s">
        <v>29</v>
      </c>
      <c r="I887" t="str">
        <f>"60602"</f>
        <v>60602</v>
      </c>
      <c r="J887" t="s">
        <v>22</v>
      </c>
      <c r="K887" t="s">
        <v>30</v>
      </c>
      <c r="L887" s="2">
        <v>6735988</v>
      </c>
      <c r="M887" s="2">
        <v>8835618</v>
      </c>
      <c r="N887" s="2">
        <v>0</v>
      </c>
      <c r="O887" s="2">
        <v>348322</v>
      </c>
      <c r="P887" t="s">
        <v>24</v>
      </c>
      <c r="Q887" t="s">
        <v>24</v>
      </c>
    </row>
    <row r="888" spans="1:17" x14ac:dyDescent="0.25">
      <c r="A888" t="s">
        <v>3878</v>
      </c>
      <c r="B888" t="s">
        <v>3879</v>
      </c>
      <c r="C888" s="1">
        <v>41275</v>
      </c>
      <c r="D888" s="1">
        <v>41639</v>
      </c>
      <c r="E888" t="s">
        <v>3880</v>
      </c>
      <c r="G888" t="s">
        <v>20</v>
      </c>
      <c r="H888" t="s">
        <v>21</v>
      </c>
      <c r="I888" t="str">
        <f>"46204"</f>
        <v>46204</v>
      </c>
      <c r="J888" t="s">
        <v>22</v>
      </c>
      <c r="K888" t="s">
        <v>23</v>
      </c>
      <c r="L888" s="2">
        <v>6735753</v>
      </c>
      <c r="M888" s="2">
        <v>3787046</v>
      </c>
      <c r="N888" s="2">
        <v>0</v>
      </c>
      <c r="O888" s="2">
        <v>225570</v>
      </c>
      <c r="P888" t="s">
        <v>24</v>
      </c>
      <c r="Q888" t="s">
        <v>24</v>
      </c>
    </row>
    <row r="889" spans="1:17" x14ac:dyDescent="0.25">
      <c r="A889" t="s">
        <v>4947</v>
      </c>
      <c r="B889" t="s">
        <v>4948</v>
      </c>
      <c r="C889" s="1">
        <v>41275</v>
      </c>
      <c r="D889" s="1">
        <v>41639</v>
      </c>
      <c r="E889" t="s">
        <v>4949</v>
      </c>
      <c r="G889" t="s">
        <v>28</v>
      </c>
      <c r="H889" t="s">
        <v>29</v>
      </c>
      <c r="I889" t="str">
        <f>"60602"</f>
        <v>60602</v>
      </c>
      <c r="J889" t="s">
        <v>22</v>
      </c>
      <c r="K889" t="s">
        <v>30</v>
      </c>
      <c r="L889" s="2">
        <v>6714662</v>
      </c>
      <c r="M889" s="2">
        <v>626312</v>
      </c>
      <c r="N889" s="2">
        <v>0</v>
      </c>
      <c r="O889" s="2">
        <v>223518</v>
      </c>
      <c r="P889" t="s">
        <v>24</v>
      </c>
      <c r="Q889" t="s">
        <v>24</v>
      </c>
    </row>
    <row r="890" spans="1:17" x14ac:dyDescent="0.25">
      <c r="A890" t="s">
        <v>5306</v>
      </c>
      <c r="B890" t="s">
        <v>5307</v>
      </c>
      <c r="C890" s="1">
        <v>41275</v>
      </c>
      <c r="D890" s="1">
        <v>41639</v>
      </c>
      <c r="E890" t="s">
        <v>1784</v>
      </c>
      <c r="G890" t="s">
        <v>5308</v>
      </c>
      <c r="H890" t="s">
        <v>21</v>
      </c>
      <c r="I890" t="str">
        <f>"46001"</f>
        <v>46001</v>
      </c>
      <c r="J890" t="s">
        <v>22</v>
      </c>
      <c r="K890" t="s">
        <v>23</v>
      </c>
      <c r="L890" s="2">
        <v>6713753</v>
      </c>
      <c r="M890" s="2">
        <v>1396855</v>
      </c>
      <c r="N890" s="2">
        <v>0</v>
      </c>
      <c r="O890" s="2">
        <v>475757</v>
      </c>
      <c r="P890" t="s">
        <v>24</v>
      </c>
      <c r="Q890" t="s">
        <v>24</v>
      </c>
    </row>
    <row r="891" spans="1:17" x14ac:dyDescent="0.25">
      <c r="A891" t="s">
        <v>5768</v>
      </c>
      <c r="B891" t="s">
        <v>5769</v>
      </c>
      <c r="C891" s="1">
        <v>41275</v>
      </c>
      <c r="D891" s="1">
        <v>41639</v>
      </c>
      <c r="E891" t="s">
        <v>2571</v>
      </c>
      <c r="G891" t="s">
        <v>428</v>
      </c>
      <c r="H891" t="s">
        <v>29</v>
      </c>
      <c r="I891" t="str">
        <f>"60178"</f>
        <v>60178</v>
      </c>
      <c r="J891" t="s">
        <v>63</v>
      </c>
      <c r="K891" t="s">
        <v>64</v>
      </c>
      <c r="L891" s="2">
        <v>6710448</v>
      </c>
      <c r="M891" s="2">
        <v>1838724</v>
      </c>
      <c r="N891" s="2">
        <v>0</v>
      </c>
      <c r="O891" s="2">
        <v>612974</v>
      </c>
      <c r="P891" t="s">
        <v>24</v>
      </c>
      <c r="Q891" t="s">
        <v>24</v>
      </c>
    </row>
    <row r="892" spans="1:17" x14ac:dyDescent="0.25">
      <c r="A892" t="s">
        <v>6481</v>
      </c>
      <c r="B892" t="s">
        <v>6482</v>
      </c>
      <c r="E892" t="s">
        <v>6483</v>
      </c>
      <c r="G892" t="s">
        <v>659</v>
      </c>
      <c r="H892" t="s">
        <v>47</v>
      </c>
      <c r="I892" t="str">
        <f>"48075"</f>
        <v>48075</v>
      </c>
      <c r="J892" t="s">
        <v>752</v>
      </c>
      <c r="K892" t="s">
        <v>753</v>
      </c>
      <c r="L892" s="2">
        <v>6703296</v>
      </c>
      <c r="M892" s="2">
        <v>2386379</v>
      </c>
      <c r="N892" s="2">
        <v>0</v>
      </c>
      <c r="O892" t="s">
        <v>24</v>
      </c>
      <c r="P892" t="s">
        <v>24</v>
      </c>
      <c r="Q892" t="s">
        <v>24</v>
      </c>
    </row>
    <row r="893" spans="1:17" x14ac:dyDescent="0.25">
      <c r="A893" t="s">
        <v>1160</v>
      </c>
      <c r="B893" t="s">
        <v>1161</v>
      </c>
      <c r="C893" s="1">
        <v>41275</v>
      </c>
      <c r="D893" s="1">
        <v>41639</v>
      </c>
      <c r="E893" t="s">
        <v>1162</v>
      </c>
      <c r="G893" t="s">
        <v>28</v>
      </c>
      <c r="H893" t="s">
        <v>29</v>
      </c>
      <c r="I893" t="str">
        <f>"60601"</f>
        <v>60601</v>
      </c>
      <c r="J893" t="s">
        <v>22</v>
      </c>
      <c r="K893" t="s">
        <v>23</v>
      </c>
      <c r="L893" s="2">
        <v>6693331</v>
      </c>
      <c r="M893" s="2">
        <v>2068471</v>
      </c>
      <c r="N893" s="2">
        <v>0</v>
      </c>
      <c r="O893" s="2">
        <v>467081</v>
      </c>
      <c r="P893" t="s">
        <v>24</v>
      </c>
      <c r="Q893" t="s">
        <v>24</v>
      </c>
    </row>
    <row r="894" spans="1:17" x14ac:dyDescent="0.25">
      <c r="A894" t="s">
        <v>7578</v>
      </c>
      <c r="B894" t="s">
        <v>7579</v>
      </c>
      <c r="C894" s="1">
        <v>40909</v>
      </c>
      <c r="D894" s="1">
        <v>41274</v>
      </c>
      <c r="E894" t="s">
        <v>7580</v>
      </c>
      <c r="G894" t="s">
        <v>768</v>
      </c>
      <c r="H894" t="s">
        <v>62</v>
      </c>
      <c r="I894" t="str">
        <f>"44122"</f>
        <v>44122</v>
      </c>
      <c r="J894" t="s">
        <v>22</v>
      </c>
      <c r="K894" t="s">
        <v>30</v>
      </c>
      <c r="L894" s="2">
        <v>6683160</v>
      </c>
      <c r="M894" s="2">
        <v>1508718</v>
      </c>
      <c r="N894" s="2">
        <v>0</v>
      </c>
      <c r="O894" s="2">
        <v>560922</v>
      </c>
      <c r="P894" t="s">
        <v>24</v>
      </c>
      <c r="Q894" t="s">
        <v>24</v>
      </c>
    </row>
    <row r="895" spans="1:17" x14ac:dyDescent="0.25">
      <c r="A895" t="s">
        <v>3455</v>
      </c>
      <c r="B895" t="s">
        <v>3456</v>
      </c>
      <c r="C895" s="1">
        <v>41275</v>
      </c>
      <c r="D895" s="1">
        <v>41639</v>
      </c>
      <c r="E895" t="s">
        <v>3457</v>
      </c>
      <c r="G895" t="s">
        <v>337</v>
      </c>
      <c r="H895" t="s">
        <v>62</v>
      </c>
      <c r="I895" t="str">
        <f>"44113"</f>
        <v>44113</v>
      </c>
      <c r="J895" t="s">
        <v>22</v>
      </c>
      <c r="K895" t="s">
        <v>30</v>
      </c>
      <c r="L895" s="2">
        <v>6656580</v>
      </c>
      <c r="M895" s="2">
        <v>5339653</v>
      </c>
      <c r="N895" s="2">
        <v>0</v>
      </c>
      <c r="O895" s="2">
        <v>576673</v>
      </c>
      <c r="P895" t="s">
        <v>24</v>
      </c>
      <c r="Q895" t="s">
        <v>24</v>
      </c>
    </row>
    <row r="896" spans="1:17" x14ac:dyDescent="0.25">
      <c r="A896" t="s">
        <v>5667</v>
      </c>
      <c r="B896" t="s">
        <v>5668</v>
      </c>
      <c r="C896" s="1">
        <v>41275</v>
      </c>
      <c r="D896" s="1">
        <v>41639</v>
      </c>
      <c r="E896" t="s">
        <v>5669</v>
      </c>
      <c r="G896" t="s">
        <v>28</v>
      </c>
      <c r="H896" t="s">
        <v>29</v>
      </c>
      <c r="I896" t="str">
        <f>"60601"</f>
        <v>60601</v>
      </c>
      <c r="J896" t="s">
        <v>22</v>
      </c>
      <c r="K896" t="s">
        <v>30</v>
      </c>
      <c r="L896" s="2">
        <v>6647471</v>
      </c>
      <c r="M896" s="2">
        <v>2649341</v>
      </c>
      <c r="N896" s="2">
        <v>0</v>
      </c>
      <c r="O896" s="2">
        <v>198096</v>
      </c>
      <c r="P896" t="s">
        <v>24</v>
      </c>
      <c r="Q896" t="s">
        <v>24</v>
      </c>
    </row>
    <row r="897" spans="1:17" x14ac:dyDescent="0.25">
      <c r="A897" t="s">
        <v>6432</v>
      </c>
      <c r="B897" t="s">
        <v>6433</v>
      </c>
      <c r="C897" s="1">
        <v>41091</v>
      </c>
      <c r="D897" s="1">
        <v>41455</v>
      </c>
      <c r="E897" t="s">
        <v>6434</v>
      </c>
      <c r="G897" t="s">
        <v>353</v>
      </c>
      <c r="H897" t="s">
        <v>62</v>
      </c>
      <c r="I897" t="str">
        <f>"43215"</f>
        <v>43215</v>
      </c>
      <c r="J897" t="s">
        <v>63</v>
      </c>
      <c r="K897" t="s">
        <v>64</v>
      </c>
      <c r="L897" s="2">
        <v>6575311</v>
      </c>
      <c r="M897" s="2">
        <v>1031650</v>
      </c>
      <c r="N897" s="2">
        <v>21178</v>
      </c>
      <c r="O897" s="2">
        <v>658758</v>
      </c>
      <c r="P897" s="2">
        <v>92355</v>
      </c>
      <c r="Q897" s="2">
        <v>62942</v>
      </c>
    </row>
    <row r="898" spans="1:17" x14ac:dyDescent="0.25">
      <c r="A898" t="s">
        <v>5169</v>
      </c>
      <c r="B898" t="s">
        <v>5170</v>
      </c>
      <c r="C898" s="1">
        <v>41275</v>
      </c>
      <c r="D898" s="1">
        <v>41639</v>
      </c>
      <c r="E898" t="s">
        <v>50</v>
      </c>
      <c r="G898" t="s">
        <v>28</v>
      </c>
      <c r="H898" t="s">
        <v>29</v>
      </c>
      <c r="I898" t="str">
        <f>"60603"</f>
        <v>60603</v>
      </c>
      <c r="J898" t="s">
        <v>22</v>
      </c>
      <c r="K898" t="s">
        <v>64</v>
      </c>
      <c r="L898" s="2">
        <v>6554096</v>
      </c>
      <c r="M898" s="2">
        <v>2907143</v>
      </c>
      <c r="N898" s="2">
        <v>0</v>
      </c>
      <c r="O898" s="2">
        <v>132062</v>
      </c>
      <c r="P898" t="s">
        <v>24</v>
      </c>
      <c r="Q898" t="s">
        <v>24</v>
      </c>
    </row>
    <row r="899" spans="1:17" x14ac:dyDescent="0.25">
      <c r="A899" t="s">
        <v>3055</v>
      </c>
      <c r="B899" t="s">
        <v>3056</v>
      </c>
      <c r="C899" s="1">
        <v>41275</v>
      </c>
      <c r="D899" s="1">
        <v>41639</v>
      </c>
      <c r="E899" t="s">
        <v>3057</v>
      </c>
      <c r="G899" t="s">
        <v>1726</v>
      </c>
      <c r="H899" t="s">
        <v>47</v>
      </c>
      <c r="I899" t="str">
        <f>"48089"</f>
        <v>48089</v>
      </c>
      <c r="J899" t="s">
        <v>22</v>
      </c>
      <c r="K899" t="s">
        <v>30</v>
      </c>
      <c r="L899" s="2">
        <v>6552299</v>
      </c>
      <c r="M899" s="2">
        <v>3077937</v>
      </c>
      <c r="N899" s="2">
        <v>4050</v>
      </c>
      <c r="O899" s="2">
        <v>178532</v>
      </c>
      <c r="P899" t="s">
        <v>24</v>
      </c>
      <c r="Q899" t="s">
        <v>24</v>
      </c>
    </row>
    <row r="900" spans="1:17" x14ac:dyDescent="0.25">
      <c r="A900" t="s">
        <v>1387</v>
      </c>
      <c r="B900" t="s">
        <v>1388</v>
      </c>
      <c r="C900" s="1">
        <v>41275</v>
      </c>
      <c r="D900" s="1">
        <v>41639</v>
      </c>
      <c r="E900" t="s">
        <v>1389</v>
      </c>
      <c r="G900" t="s">
        <v>1028</v>
      </c>
      <c r="H900" t="s">
        <v>47</v>
      </c>
      <c r="I900" t="str">
        <f>"48105"</f>
        <v>48105</v>
      </c>
      <c r="J900" t="s">
        <v>22</v>
      </c>
      <c r="K900" t="s">
        <v>23</v>
      </c>
      <c r="L900" s="2">
        <v>6549229</v>
      </c>
      <c r="M900" s="2">
        <v>6256926</v>
      </c>
      <c r="N900" s="2">
        <v>0</v>
      </c>
      <c r="O900" s="2">
        <v>53304</v>
      </c>
      <c r="P900" t="s">
        <v>24</v>
      </c>
      <c r="Q900" t="s">
        <v>24</v>
      </c>
    </row>
    <row r="901" spans="1:17" x14ac:dyDescent="0.25">
      <c r="A901" t="s">
        <v>3343</v>
      </c>
      <c r="B901" t="s">
        <v>3344</v>
      </c>
      <c r="C901" s="1">
        <v>41275</v>
      </c>
      <c r="D901" s="1">
        <v>41639</v>
      </c>
      <c r="E901" t="s">
        <v>3345</v>
      </c>
      <c r="G901" t="s">
        <v>987</v>
      </c>
      <c r="H901" t="s">
        <v>47</v>
      </c>
      <c r="I901" t="str">
        <f>"48009"</f>
        <v>48009</v>
      </c>
      <c r="J901" t="s">
        <v>22</v>
      </c>
      <c r="K901" t="s">
        <v>23</v>
      </c>
      <c r="L901" s="2">
        <v>6531617</v>
      </c>
      <c r="M901" s="2">
        <v>3675865</v>
      </c>
      <c r="N901" s="2">
        <v>1546</v>
      </c>
      <c r="O901" s="2">
        <v>389492</v>
      </c>
      <c r="P901" t="s">
        <v>24</v>
      </c>
      <c r="Q901" t="s">
        <v>24</v>
      </c>
    </row>
    <row r="902" spans="1:17" x14ac:dyDescent="0.25">
      <c r="A902" t="s">
        <v>4296</v>
      </c>
      <c r="B902" t="s">
        <v>4297</v>
      </c>
      <c r="C902" s="1">
        <v>41275</v>
      </c>
      <c r="D902" s="1">
        <v>41639</v>
      </c>
      <c r="E902" t="s">
        <v>4298</v>
      </c>
      <c r="G902" t="s">
        <v>28</v>
      </c>
      <c r="H902" t="s">
        <v>29</v>
      </c>
      <c r="I902" t="str">
        <f>"60654"</f>
        <v>60654</v>
      </c>
      <c r="J902" t="s">
        <v>22</v>
      </c>
      <c r="K902" t="s">
        <v>23</v>
      </c>
      <c r="L902" s="2">
        <v>6530158</v>
      </c>
      <c r="M902" s="2">
        <v>1021983</v>
      </c>
      <c r="N902" s="2">
        <v>0</v>
      </c>
      <c r="O902" s="2">
        <v>547422</v>
      </c>
      <c r="P902" t="s">
        <v>24</v>
      </c>
      <c r="Q902" t="s">
        <v>24</v>
      </c>
    </row>
    <row r="903" spans="1:17" x14ac:dyDescent="0.25">
      <c r="A903" t="s">
        <v>344</v>
      </c>
      <c r="B903" t="s">
        <v>345</v>
      </c>
      <c r="C903" s="1">
        <v>41275</v>
      </c>
      <c r="D903" s="1">
        <v>41639</v>
      </c>
      <c r="E903" t="s">
        <v>346</v>
      </c>
      <c r="G903" t="s">
        <v>347</v>
      </c>
      <c r="H903" t="s">
        <v>29</v>
      </c>
      <c r="I903" t="str">
        <f>"60555"</f>
        <v>60555</v>
      </c>
      <c r="J903" t="s">
        <v>22</v>
      </c>
      <c r="K903" t="s">
        <v>23</v>
      </c>
      <c r="L903" s="2">
        <v>6503231</v>
      </c>
      <c r="M903" s="2">
        <v>2226513</v>
      </c>
      <c r="N903" s="2">
        <v>0</v>
      </c>
      <c r="O903" s="2">
        <v>44442</v>
      </c>
      <c r="P903" t="s">
        <v>24</v>
      </c>
      <c r="Q903" t="s">
        <v>24</v>
      </c>
    </row>
    <row r="904" spans="1:17" x14ac:dyDescent="0.25">
      <c r="A904" t="s">
        <v>4954</v>
      </c>
      <c r="B904" t="s">
        <v>4955</v>
      </c>
      <c r="C904" s="1">
        <v>41456</v>
      </c>
      <c r="D904" s="1">
        <v>41820</v>
      </c>
      <c r="E904" t="s">
        <v>1535</v>
      </c>
      <c r="G904" t="s">
        <v>41</v>
      </c>
      <c r="H904" t="s">
        <v>42</v>
      </c>
      <c r="I904" t="str">
        <f>"53201"</f>
        <v>53201</v>
      </c>
      <c r="J904" t="s">
        <v>22</v>
      </c>
      <c r="K904" t="s">
        <v>23</v>
      </c>
      <c r="L904" s="2">
        <v>6497173</v>
      </c>
      <c r="M904" s="2">
        <v>1022508</v>
      </c>
      <c r="N904" s="2">
        <v>0</v>
      </c>
      <c r="O904" s="2">
        <v>338607</v>
      </c>
      <c r="P904" t="s">
        <v>24</v>
      </c>
      <c r="Q904" t="s">
        <v>24</v>
      </c>
    </row>
    <row r="905" spans="1:17" x14ac:dyDescent="0.25">
      <c r="A905" t="s">
        <v>2094</v>
      </c>
      <c r="B905" t="s">
        <v>2095</v>
      </c>
      <c r="C905" s="1">
        <v>41275</v>
      </c>
      <c r="D905" s="1">
        <v>41639</v>
      </c>
      <c r="E905" t="s">
        <v>2096</v>
      </c>
      <c r="G905" t="s">
        <v>783</v>
      </c>
      <c r="H905" t="s">
        <v>21</v>
      </c>
      <c r="I905" t="str">
        <f>"46032"</f>
        <v>46032</v>
      </c>
      <c r="J905" t="s">
        <v>22</v>
      </c>
      <c r="K905" t="s">
        <v>30</v>
      </c>
      <c r="L905" s="2">
        <v>6487909</v>
      </c>
      <c r="M905" s="2">
        <v>6146229</v>
      </c>
      <c r="N905" s="2">
        <v>0</v>
      </c>
      <c r="O905" s="2">
        <v>0</v>
      </c>
      <c r="P905" t="s">
        <v>24</v>
      </c>
      <c r="Q905" t="s">
        <v>24</v>
      </c>
    </row>
    <row r="906" spans="1:17" x14ac:dyDescent="0.25">
      <c r="A906" t="s">
        <v>6458</v>
      </c>
      <c r="B906" t="s">
        <v>6459</v>
      </c>
      <c r="C906" s="1">
        <v>41275</v>
      </c>
      <c r="D906" s="1">
        <v>41639</v>
      </c>
      <c r="E906" t="s">
        <v>3888</v>
      </c>
      <c r="G906" t="s">
        <v>258</v>
      </c>
      <c r="H906" t="s">
        <v>62</v>
      </c>
      <c r="I906" t="str">
        <f>"44512"</f>
        <v>44512</v>
      </c>
      <c r="J906" t="s">
        <v>22</v>
      </c>
      <c r="K906" t="s">
        <v>23</v>
      </c>
      <c r="L906" s="2">
        <v>6475970</v>
      </c>
      <c r="M906" s="2">
        <v>3530325</v>
      </c>
      <c r="N906" s="2">
        <v>0</v>
      </c>
      <c r="O906" s="2">
        <v>428235</v>
      </c>
      <c r="P906" t="s">
        <v>24</v>
      </c>
      <c r="Q906" t="s">
        <v>24</v>
      </c>
    </row>
    <row r="907" spans="1:17" x14ac:dyDescent="0.25">
      <c r="A907" t="s">
        <v>1928</v>
      </c>
      <c r="B907" t="s">
        <v>1929</v>
      </c>
      <c r="C907" s="1">
        <v>41275</v>
      </c>
      <c r="D907" s="1">
        <v>41639</v>
      </c>
      <c r="E907" t="s">
        <v>1930</v>
      </c>
      <c r="G907" t="s">
        <v>772</v>
      </c>
      <c r="H907" t="s">
        <v>62</v>
      </c>
      <c r="I907" t="str">
        <f>"44124"</f>
        <v>44124</v>
      </c>
      <c r="J907" t="s">
        <v>22</v>
      </c>
      <c r="K907" t="s">
        <v>23</v>
      </c>
      <c r="L907" s="2">
        <v>6475048</v>
      </c>
      <c r="M907" s="2">
        <v>1264452</v>
      </c>
      <c r="N907" s="2">
        <v>0</v>
      </c>
      <c r="O907" s="2">
        <v>605089</v>
      </c>
      <c r="P907" t="s">
        <v>24</v>
      </c>
      <c r="Q907" t="s">
        <v>24</v>
      </c>
    </row>
    <row r="908" spans="1:17" x14ac:dyDescent="0.25">
      <c r="A908" t="s">
        <v>2005</v>
      </c>
      <c r="B908" t="s">
        <v>2006</v>
      </c>
      <c r="C908" s="1">
        <v>41275</v>
      </c>
      <c r="D908" s="1">
        <v>41639</v>
      </c>
      <c r="E908" t="s">
        <v>2007</v>
      </c>
      <c r="G908" t="s">
        <v>353</v>
      </c>
      <c r="H908" t="s">
        <v>62</v>
      </c>
      <c r="I908" t="str">
        <f>"43219"</f>
        <v>43219</v>
      </c>
      <c r="J908" t="s">
        <v>22</v>
      </c>
      <c r="K908" t="s">
        <v>30</v>
      </c>
      <c r="L908" s="2">
        <v>6471746</v>
      </c>
      <c r="M908" s="2">
        <v>620642</v>
      </c>
      <c r="N908" s="2">
        <v>0</v>
      </c>
      <c r="O908" s="2">
        <v>205827</v>
      </c>
      <c r="P908" t="s">
        <v>24</v>
      </c>
      <c r="Q908" t="s">
        <v>24</v>
      </c>
    </row>
    <row r="909" spans="1:17" x14ac:dyDescent="0.25">
      <c r="A909" t="s">
        <v>7566</v>
      </c>
      <c r="B909" t="s">
        <v>7567</v>
      </c>
      <c r="C909" s="1">
        <v>41275</v>
      </c>
      <c r="D909" s="1">
        <v>41639</v>
      </c>
      <c r="E909" t="s">
        <v>7568</v>
      </c>
      <c r="G909" t="s">
        <v>5434</v>
      </c>
      <c r="H909" t="s">
        <v>29</v>
      </c>
      <c r="I909" t="str">
        <f>"60015"</f>
        <v>60015</v>
      </c>
      <c r="J909" t="s">
        <v>22</v>
      </c>
      <c r="K909" t="s">
        <v>30</v>
      </c>
      <c r="L909" s="2">
        <v>6463712</v>
      </c>
      <c r="M909" s="2">
        <v>2542773</v>
      </c>
      <c r="N909" s="2">
        <v>0</v>
      </c>
      <c r="O909" s="2">
        <v>494237</v>
      </c>
      <c r="P909" t="s">
        <v>24</v>
      </c>
      <c r="Q909" t="s">
        <v>24</v>
      </c>
    </row>
    <row r="910" spans="1:17" x14ac:dyDescent="0.25">
      <c r="A910" t="s">
        <v>2828</v>
      </c>
      <c r="B910" t="s">
        <v>2829</v>
      </c>
      <c r="C910" s="1">
        <v>41275</v>
      </c>
      <c r="D910" s="1">
        <v>41639</v>
      </c>
      <c r="E910" t="s">
        <v>2830</v>
      </c>
      <c r="G910" t="s">
        <v>28</v>
      </c>
      <c r="H910" t="s">
        <v>29</v>
      </c>
      <c r="I910" t="str">
        <f>"60603"</f>
        <v>60603</v>
      </c>
      <c r="J910" t="s">
        <v>22</v>
      </c>
      <c r="K910" t="s">
        <v>30</v>
      </c>
      <c r="L910" s="2">
        <v>6459512</v>
      </c>
      <c r="M910" s="2">
        <v>2983614</v>
      </c>
      <c r="N910" s="2">
        <v>0</v>
      </c>
      <c r="O910" s="2">
        <v>306127</v>
      </c>
      <c r="P910" t="s">
        <v>24</v>
      </c>
      <c r="Q910" t="s">
        <v>24</v>
      </c>
    </row>
    <row r="911" spans="1:17" x14ac:dyDescent="0.25">
      <c r="A911" t="s">
        <v>808</v>
      </c>
      <c r="B911" t="s">
        <v>809</v>
      </c>
      <c r="C911" s="1">
        <v>41275</v>
      </c>
      <c r="D911" s="1">
        <v>41639</v>
      </c>
      <c r="E911" t="s">
        <v>810</v>
      </c>
      <c r="G911" t="s">
        <v>811</v>
      </c>
      <c r="H911" t="s">
        <v>21</v>
      </c>
      <c r="I911" t="str">
        <f>"46507"</f>
        <v>46507</v>
      </c>
      <c r="J911" t="s">
        <v>22</v>
      </c>
      <c r="K911" t="s">
        <v>30</v>
      </c>
      <c r="L911" s="2">
        <v>6453892</v>
      </c>
      <c r="M911" s="2">
        <v>1764576</v>
      </c>
      <c r="N911" s="2">
        <v>0</v>
      </c>
      <c r="O911" s="2">
        <v>367304</v>
      </c>
      <c r="P911" t="s">
        <v>24</v>
      </c>
      <c r="Q911" t="s">
        <v>24</v>
      </c>
    </row>
    <row r="912" spans="1:17" x14ac:dyDescent="0.25">
      <c r="A912" t="s">
        <v>452</v>
      </c>
      <c r="B912" t="s">
        <v>453</v>
      </c>
      <c r="C912" s="1">
        <v>41275</v>
      </c>
      <c r="D912" s="1">
        <v>41639</v>
      </c>
      <c r="E912" t="s">
        <v>454</v>
      </c>
      <c r="G912" t="s">
        <v>455</v>
      </c>
      <c r="H912" t="s">
        <v>29</v>
      </c>
      <c r="I912" t="str">
        <f>"62863"</f>
        <v>62863</v>
      </c>
      <c r="J912" t="s">
        <v>22</v>
      </c>
      <c r="K912" t="s">
        <v>30</v>
      </c>
      <c r="L912" s="2">
        <v>6446413</v>
      </c>
      <c r="M912" s="2">
        <v>1734826</v>
      </c>
      <c r="N912" s="2">
        <v>0</v>
      </c>
      <c r="O912" s="2">
        <v>333402</v>
      </c>
      <c r="P912" t="s">
        <v>24</v>
      </c>
      <c r="Q912" t="s">
        <v>24</v>
      </c>
    </row>
    <row r="913" spans="1:17" x14ac:dyDescent="0.25">
      <c r="A913" t="s">
        <v>1993</v>
      </c>
      <c r="B913" t="s">
        <v>1994</v>
      </c>
      <c r="C913" s="1">
        <v>41275</v>
      </c>
      <c r="D913" s="1">
        <v>41639</v>
      </c>
      <c r="E913" t="s">
        <v>489</v>
      </c>
      <c r="G913" t="s">
        <v>337</v>
      </c>
      <c r="H913" t="s">
        <v>62</v>
      </c>
      <c r="I913" t="str">
        <f>"44101"</f>
        <v>44101</v>
      </c>
      <c r="J913" t="s">
        <v>22</v>
      </c>
      <c r="K913" t="s">
        <v>30</v>
      </c>
      <c r="L913" s="2">
        <v>6435055</v>
      </c>
      <c r="M913" s="2">
        <v>810874</v>
      </c>
      <c r="N913" s="2">
        <v>0</v>
      </c>
      <c r="O913" s="2">
        <v>266961</v>
      </c>
      <c r="P913" t="s">
        <v>24</v>
      </c>
      <c r="Q913" t="s">
        <v>24</v>
      </c>
    </row>
    <row r="914" spans="1:17" x14ac:dyDescent="0.25">
      <c r="A914" t="s">
        <v>7762</v>
      </c>
      <c r="B914" t="s">
        <v>7763</v>
      </c>
      <c r="C914" s="1">
        <v>41275</v>
      </c>
      <c r="D914" s="1">
        <v>41639</v>
      </c>
      <c r="E914" t="s">
        <v>7764</v>
      </c>
      <c r="G914" t="s">
        <v>833</v>
      </c>
      <c r="H914" t="s">
        <v>29</v>
      </c>
      <c r="I914" t="str">
        <f>"61702"</f>
        <v>61702</v>
      </c>
      <c r="J914" t="s">
        <v>22</v>
      </c>
      <c r="K914" t="s">
        <v>23</v>
      </c>
      <c r="L914" s="2">
        <v>6351715</v>
      </c>
      <c r="M914" s="2">
        <v>1049698</v>
      </c>
      <c r="N914" s="2">
        <v>0</v>
      </c>
      <c r="O914" s="2">
        <v>336496</v>
      </c>
      <c r="P914" t="s">
        <v>24</v>
      </c>
      <c r="Q914" t="s">
        <v>24</v>
      </c>
    </row>
    <row r="915" spans="1:17" x14ac:dyDescent="0.25">
      <c r="A915" t="s">
        <v>4304</v>
      </c>
      <c r="B915" t="s">
        <v>4305</v>
      </c>
      <c r="C915" s="1">
        <v>41275</v>
      </c>
      <c r="D915" s="1">
        <v>41639</v>
      </c>
      <c r="E915" t="s">
        <v>4306</v>
      </c>
      <c r="G915" t="s">
        <v>28</v>
      </c>
      <c r="H915" t="s">
        <v>29</v>
      </c>
      <c r="I915" t="str">
        <f>"60654"</f>
        <v>60654</v>
      </c>
      <c r="J915" t="s">
        <v>22</v>
      </c>
      <c r="K915" t="s">
        <v>30</v>
      </c>
      <c r="L915" s="2">
        <v>6327531</v>
      </c>
      <c r="M915" s="2">
        <v>418822</v>
      </c>
      <c r="N915" s="2">
        <v>0</v>
      </c>
      <c r="O915" s="2">
        <v>323255</v>
      </c>
      <c r="P915" t="s">
        <v>24</v>
      </c>
      <c r="Q915" t="s">
        <v>24</v>
      </c>
    </row>
    <row r="916" spans="1:17" x14ac:dyDescent="0.25">
      <c r="A916" t="s">
        <v>721</v>
      </c>
      <c r="B916" t="s">
        <v>722</v>
      </c>
      <c r="C916" s="1">
        <v>40909</v>
      </c>
      <c r="D916" s="1">
        <v>41274</v>
      </c>
      <c r="E916" t="s">
        <v>723</v>
      </c>
      <c r="G916" t="s">
        <v>724</v>
      </c>
      <c r="H916" t="s">
        <v>47</v>
      </c>
      <c r="I916" t="str">
        <f>"49301"</f>
        <v>49301</v>
      </c>
      <c r="J916" t="s">
        <v>22</v>
      </c>
      <c r="K916" t="s">
        <v>23</v>
      </c>
      <c r="L916" s="2">
        <v>6302632</v>
      </c>
      <c r="M916" s="2">
        <v>2664003</v>
      </c>
      <c r="N916" s="2">
        <v>0</v>
      </c>
      <c r="O916" s="2">
        <v>324258</v>
      </c>
      <c r="P916" t="s">
        <v>24</v>
      </c>
      <c r="Q916" t="s">
        <v>24</v>
      </c>
    </row>
    <row r="917" spans="1:17" x14ac:dyDescent="0.25">
      <c r="A917" t="s">
        <v>1313</v>
      </c>
      <c r="B917" t="s">
        <v>1314</v>
      </c>
      <c r="C917" s="1">
        <v>40909</v>
      </c>
      <c r="D917" s="1">
        <v>41274</v>
      </c>
      <c r="E917" t="s">
        <v>1315</v>
      </c>
      <c r="G917" t="s">
        <v>1316</v>
      </c>
      <c r="H917" t="s">
        <v>47</v>
      </c>
      <c r="I917" t="str">
        <f>"49236"</f>
        <v>49236</v>
      </c>
      <c r="J917" t="s">
        <v>22</v>
      </c>
      <c r="K917" t="s">
        <v>30</v>
      </c>
      <c r="L917" s="2">
        <v>6285874</v>
      </c>
      <c r="M917" s="2">
        <v>1699178</v>
      </c>
      <c r="N917" s="2">
        <v>0</v>
      </c>
      <c r="O917" s="2">
        <v>121685</v>
      </c>
      <c r="P917" t="s">
        <v>24</v>
      </c>
      <c r="Q917" t="s">
        <v>24</v>
      </c>
    </row>
    <row r="918" spans="1:17" x14ac:dyDescent="0.25">
      <c r="A918" t="s">
        <v>6567</v>
      </c>
      <c r="B918" t="s">
        <v>6568</v>
      </c>
      <c r="C918" s="1">
        <v>41275</v>
      </c>
      <c r="D918" s="1">
        <v>41639</v>
      </c>
      <c r="E918" t="s">
        <v>6569</v>
      </c>
      <c r="G918" t="s">
        <v>77</v>
      </c>
      <c r="H918" t="s">
        <v>78</v>
      </c>
      <c r="I918" t="str">
        <f>"40202"</f>
        <v>40202</v>
      </c>
      <c r="J918" t="s">
        <v>63</v>
      </c>
      <c r="K918" t="s">
        <v>79</v>
      </c>
      <c r="L918" s="2">
        <v>6282155</v>
      </c>
      <c r="M918" s="2">
        <v>1176560</v>
      </c>
      <c r="N918" s="2">
        <v>74527</v>
      </c>
      <c r="O918" s="2">
        <v>2459227</v>
      </c>
      <c r="P918" s="2">
        <v>37022</v>
      </c>
      <c r="Q918" s="2">
        <v>119702</v>
      </c>
    </row>
    <row r="919" spans="1:17" x14ac:dyDescent="0.25">
      <c r="A919" t="s">
        <v>3853</v>
      </c>
      <c r="B919" t="s">
        <v>3854</v>
      </c>
      <c r="C919" s="1">
        <v>41275</v>
      </c>
      <c r="D919" s="1">
        <v>41639</v>
      </c>
      <c r="E919" t="s">
        <v>53</v>
      </c>
      <c r="G919" t="s">
        <v>28</v>
      </c>
      <c r="H919" t="s">
        <v>29</v>
      </c>
      <c r="I919" t="str">
        <f>"60603"</f>
        <v>60603</v>
      </c>
      <c r="J919" t="s">
        <v>22</v>
      </c>
      <c r="K919" t="s">
        <v>30</v>
      </c>
      <c r="L919" s="2">
        <v>6277174</v>
      </c>
      <c r="M919" s="2">
        <v>813031</v>
      </c>
      <c r="N919" s="2">
        <v>0</v>
      </c>
      <c r="O919" s="2">
        <v>194645</v>
      </c>
      <c r="P919" t="s">
        <v>24</v>
      </c>
      <c r="Q919" t="s">
        <v>24</v>
      </c>
    </row>
    <row r="920" spans="1:17" x14ac:dyDescent="0.25">
      <c r="A920" t="s">
        <v>1491</v>
      </c>
      <c r="B920" t="s">
        <v>1492</v>
      </c>
      <c r="C920" s="1">
        <v>41456</v>
      </c>
      <c r="D920" s="1">
        <v>41820</v>
      </c>
      <c r="E920" t="s">
        <v>1493</v>
      </c>
      <c r="G920" t="s">
        <v>147</v>
      </c>
      <c r="H920" t="s">
        <v>62</v>
      </c>
      <c r="I920" t="str">
        <f>"44308"</f>
        <v>44308</v>
      </c>
      <c r="J920" t="s">
        <v>63</v>
      </c>
      <c r="K920" t="s">
        <v>23</v>
      </c>
      <c r="L920" s="2">
        <v>6266289</v>
      </c>
      <c r="M920" s="2">
        <v>480301</v>
      </c>
      <c r="N920" s="2">
        <v>0</v>
      </c>
      <c r="O920" s="2">
        <v>296248</v>
      </c>
      <c r="P920" s="2">
        <v>36248</v>
      </c>
      <c r="Q920" s="2">
        <v>0</v>
      </c>
    </row>
    <row r="921" spans="1:17" x14ac:dyDescent="0.25">
      <c r="A921" t="s">
        <v>5713</v>
      </c>
      <c r="B921" t="s">
        <v>5714</v>
      </c>
      <c r="C921" s="1">
        <v>41275</v>
      </c>
      <c r="D921" s="1">
        <v>41639</v>
      </c>
      <c r="E921" t="s">
        <v>5715</v>
      </c>
      <c r="G921" t="s">
        <v>1826</v>
      </c>
      <c r="H921" t="s">
        <v>21</v>
      </c>
      <c r="I921" t="str">
        <f>"46992"</f>
        <v>46992</v>
      </c>
      <c r="J921" t="s">
        <v>752</v>
      </c>
      <c r="K921" t="s">
        <v>753</v>
      </c>
      <c r="L921" s="2">
        <v>6262375</v>
      </c>
      <c r="M921" s="2">
        <v>651443</v>
      </c>
      <c r="N921" s="2">
        <v>939</v>
      </c>
      <c r="O921" s="2">
        <v>524605</v>
      </c>
      <c r="P921" t="s">
        <v>24</v>
      </c>
      <c r="Q921" t="s">
        <v>24</v>
      </c>
    </row>
    <row r="922" spans="1:17" x14ac:dyDescent="0.25">
      <c r="A922" t="s">
        <v>2434</v>
      </c>
      <c r="B922" t="s">
        <v>2435</v>
      </c>
      <c r="C922" s="1">
        <v>41275</v>
      </c>
      <c r="D922" s="1">
        <v>41639</v>
      </c>
      <c r="E922" t="s">
        <v>750</v>
      </c>
      <c r="G922" t="s">
        <v>751</v>
      </c>
      <c r="H922" t="s">
        <v>62</v>
      </c>
      <c r="I922" t="str">
        <f>"44144"</f>
        <v>44144</v>
      </c>
      <c r="J922" t="s">
        <v>22</v>
      </c>
      <c r="K922" t="s">
        <v>23</v>
      </c>
      <c r="L922" s="2">
        <v>6252870</v>
      </c>
      <c r="M922" s="2">
        <v>585581</v>
      </c>
      <c r="N922" s="2">
        <v>0</v>
      </c>
      <c r="O922" s="2">
        <v>332008</v>
      </c>
      <c r="P922" t="s">
        <v>24</v>
      </c>
      <c r="Q922" t="s">
        <v>24</v>
      </c>
    </row>
    <row r="923" spans="1:17" x14ac:dyDescent="0.25">
      <c r="A923" t="s">
        <v>6689</v>
      </c>
      <c r="B923" t="s">
        <v>6690</v>
      </c>
      <c r="C923" s="1">
        <v>41426</v>
      </c>
      <c r="D923" s="1">
        <v>41790</v>
      </c>
      <c r="E923" t="s">
        <v>6691</v>
      </c>
      <c r="G923" t="s">
        <v>843</v>
      </c>
      <c r="H923" t="s">
        <v>29</v>
      </c>
      <c r="I923" t="str">
        <f>"61107"</f>
        <v>61107</v>
      </c>
      <c r="J923" t="s">
        <v>22</v>
      </c>
      <c r="K923" t="s">
        <v>23</v>
      </c>
      <c r="L923" s="2">
        <v>6227306</v>
      </c>
      <c r="M923" s="2">
        <v>3030939</v>
      </c>
      <c r="N923" s="2">
        <v>0</v>
      </c>
      <c r="O923" s="2">
        <v>256633</v>
      </c>
      <c r="P923" t="s">
        <v>24</v>
      </c>
      <c r="Q923" t="s">
        <v>24</v>
      </c>
    </row>
    <row r="924" spans="1:17" x14ac:dyDescent="0.25">
      <c r="A924" t="s">
        <v>6398</v>
      </c>
      <c r="B924" t="s">
        <v>6399</v>
      </c>
      <c r="C924" s="1">
        <v>41275</v>
      </c>
      <c r="D924" s="1">
        <v>41639</v>
      </c>
      <c r="E924" t="s">
        <v>6400</v>
      </c>
      <c r="G924" t="s">
        <v>20</v>
      </c>
      <c r="H924" t="s">
        <v>21</v>
      </c>
      <c r="I924" t="str">
        <f>"46204"</f>
        <v>46204</v>
      </c>
      <c r="J924" t="s">
        <v>22</v>
      </c>
      <c r="K924" t="s">
        <v>79</v>
      </c>
      <c r="L924" s="2">
        <v>6218821</v>
      </c>
      <c r="M924" s="2">
        <v>1191882</v>
      </c>
      <c r="N924" s="2">
        <v>0</v>
      </c>
      <c r="O924" s="2">
        <v>430132</v>
      </c>
      <c r="P924" t="s">
        <v>24</v>
      </c>
      <c r="Q924" t="s">
        <v>24</v>
      </c>
    </row>
    <row r="925" spans="1:17" x14ac:dyDescent="0.25">
      <c r="A925" t="s">
        <v>5082</v>
      </c>
      <c r="B925" t="s">
        <v>5083</v>
      </c>
      <c r="C925" s="1">
        <v>41275</v>
      </c>
      <c r="D925" s="1">
        <v>41639</v>
      </c>
      <c r="E925" t="s">
        <v>5084</v>
      </c>
      <c r="G925" t="s">
        <v>28</v>
      </c>
      <c r="H925" t="s">
        <v>29</v>
      </c>
      <c r="I925" t="str">
        <f>"60601"</f>
        <v>60601</v>
      </c>
      <c r="J925" t="s">
        <v>22</v>
      </c>
      <c r="K925" t="s">
        <v>30</v>
      </c>
      <c r="L925" s="2">
        <v>6193589</v>
      </c>
      <c r="M925" s="2">
        <v>1222242</v>
      </c>
      <c r="N925" s="2">
        <v>0</v>
      </c>
      <c r="O925" s="2">
        <v>664496</v>
      </c>
      <c r="P925" t="s">
        <v>24</v>
      </c>
      <c r="Q925" t="s">
        <v>24</v>
      </c>
    </row>
    <row r="926" spans="1:17" x14ac:dyDescent="0.25">
      <c r="A926" t="s">
        <v>6342</v>
      </c>
      <c r="B926" t="s">
        <v>6343</v>
      </c>
      <c r="C926" s="1">
        <v>41275</v>
      </c>
      <c r="D926" s="1">
        <v>41639</v>
      </c>
      <c r="E926" t="s">
        <v>6344</v>
      </c>
      <c r="G926" t="s">
        <v>86</v>
      </c>
      <c r="H926" t="s">
        <v>42</v>
      </c>
      <c r="I926" t="str">
        <f>"53705"</f>
        <v>53705</v>
      </c>
      <c r="J926" t="s">
        <v>22</v>
      </c>
      <c r="K926" t="s">
        <v>30</v>
      </c>
      <c r="L926" s="2">
        <v>6188592</v>
      </c>
      <c r="M926" s="2">
        <v>1922169</v>
      </c>
      <c r="N926" s="2">
        <v>0</v>
      </c>
      <c r="O926" s="2">
        <v>296702</v>
      </c>
      <c r="P926" t="s">
        <v>24</v>
      </c>
      <c r="Q926" t="s">
        <v>24</v>
      </c>
    </row>
    <row r="927" spans="1:17" x14ac:dyDescent="0.25">
      <c r="A927" t="s">
        <v>2628</v>
      </c>
      <c r="B927" t="s">
        <v>2629</v>
      </c>
      <c r="C927" s="1">
        <v>41365</v>
      </c>
      <c r="D927" s="1">
        <v>41729</v>
      </c>
      <c r="E927" t="s">
        <v>2630</v>
      </c>
      <c r="G927" t="s">
        <v>1097</v>
      </c>
      <c r="H927" t="s">
        <v>47</v>
      </c>
      <c r="I927" t="str">
        <f>"48161"</f>
        <v>48161</v>
      </c>
      <c r="J927" t="s">
        <v>63</v>
      </c>
      <c r="K927" t="s">
        <v>64</v>
      </c>
      <c r="L927" s="2">
        <v>6172305</v>
      </c>
      <c r="M927" s="2">
        <v>887336</v>
      </c>
      <c r="N927" s="2">
        <v>392317</v>
      </c>
      <c r="O927" s="2">
        <v>822035</v>
      </c>
      <c r="P927" s="2">
        <v>84100</v>
      </c>
      <c r="Q927" s="2">
        <v>998</v>
      </c>
    </row>
    <row r="928" spans="1:17" x14ac:dyDescent="0.25">
      <c r="A928" t="s">
        <v>2803</v>
      </c>
      <c r="B928" t="s">
        <v>2804</v>
      </c>
      <c r="C928" s="1">
        <v>40909</v>
      </c>
      <c r="D928" s="1">
        <v>41274</v>
      </c>
      <c r="E928" t="s">
        <v>2805</v>
      </c>
      <c r="G928" t="s">
        <v>86</v>
      </c>
      <c r="H928" t="s">
        <v>42</v>
      </c>
      <c r="I928" t="str">
        <f>"53705"</f>
        <v>53705</v>
      </c>
      <c r="J928" t="s">
        <v>63</v>
      </c>
      <c r="K928" t="s">
        <v>2806</v>
      </c>
      <c r="L928" s="2">
        <v>6168259</v>
      </c>
      <c r="M928" s="2">
        <v>3481978</v>
      </c>
      <c r="N928" s="2">
        <v>643015</v>
      </c>
      <c r="O928" s="2">
        <v>2815144</v>
      </c>
      <c r="P928" s="2">
        <v>678147</v>
      </c>
      <c r="Q928" s="2">
        <v>129439</v>
      </c>
    </row>
    <row r="929" spans="1:17" x14ac:dyDescent="0.25">
      <c r="A929" t="s">
        <v>7326</v>
      </c>
      <c r="B929" t="s">
        <v>7327</v>
      </c>
      <c r="C929" s="1">
        <v>41275</v>
      </c>
      <c r="D929" s="1">
        <v>41639</v>
      </c>
      <c r="E929" t="s">
        <v>104</v>
      </c>
      <c r="G929" t="s">
        <v>28</v>
      </c>
      <c r="H929" t="s">
        <v>29</v>
      </c>
      <c r="I929" t="str">
        <f>"60680"</f>
        <v>60680</v>
      </c>
      <c r="J929" t="s">
        <v>22</v>
      </c>
      <c r="K929" t="s">
        <v>23</v>
      </c>
      <c r="L929" s="2">
        <v>6163156</v>
      </c>
      <c r="M929" s="2">
        <v>1122936</v>
      </c>
      <c r="N929" s="2">
        <v>0</v>
      </c>
      <c r="O929" s="2">
        <v>86421</v>
      </c>
      <c r="P929" t="s">
        <v>24</v>
      </c>
      <c r="Q929" t="s">
        <v>24</v>
      </c>
    </row>
    <row r="930" spans="1:17" x14ac:dyDescent="0.25">
      <c r="A930" t="s">
        <v>3146</v>
      </c>
      <c r="B930" t="s">
        <v>3147</v>
      </c>
      <c r="C930" s="1">
        <v>41275</v>
      </c>
      <c r="D930" s="1">
        <v>41639</v>
      </c>
      <c r="E930" t="s">
        <v>3148</v>
      </c>
      <c r="G930" t="s">
        <v>3149</v>
      </c>
      <c r="H930" t="s">
        <v>21</v>
      </c>
      <c r="I930" t="str">
        <f>"46123"</f>
        <v>46123</v>
      </c>
      <c r="J930" t="s">
        <v>22</v>
      </c>
      <c r="K930" t="s">
        <v>79</v>
      </c>
      <c r="L930" s="2">
        <v>6159668</v>
      </c>
      <c r="M930" s="2">
        <v>4597723</v>
      </c>
      <c r="N930" s="2">
        <v>0</v>
      </c>
      <c r="O930" s="2">
        <v>272515</v>
      </c>
      <c r="P930" t="s">
        <v>24</v>
      </c>
      <c r="Q930" t="s">
        <v>24</v>
      </c>
    </row>
    <row r="931" spans="1:17" x14ac:dyDescent="0.25">
      <c r="A931" t="s">
        <v>3881</v>
      </c>
      <c r="B931" t="s">
        <v>3882</v>
      </c>
      <c r="C931" s="1">
        <v>41275</v>
      </c>
      <c r="D931" s="1">
        <v>41639</v>
      </c>
      <c r="E931" t="s">
        <v>3883</v>
      </c>
      <c r="G931" t="s">
        <v>98</v>
      </c>
      <c r="H931" t="s">
        <v>29</v>
      </c>
      <c r="I931" t="str">
        <f>"60515"</f>
        <v>60515</v>
      </c>
      <c r="J931" t="s">
        <v>22</v>
      </c>
      <c r="K931" t="s">
        <v>23</v>
      </c>
      <c r="L931" s="2">
        <v>6159165</v>
      </c>
      <c r="M931" s="2">
        <v>3637296</v>
      </c>
      <c r="N931" s="2">
        <v>0</v>
      </c>
      <c r="O931" s="2">
        <v>129188</v>
      </c>
      <c r="P931" t="s">
        <v>24</v>
      </c>
      <c r="Q931" t="s">
        <v>24</v>
      </c>
    </row>
    <row r="932" spans="1:17" x14ac:dyDescent="0.25">
      <c r="A932" t="s">
        <v>2554</v>
      </c>
      <c r="B932" t="s">
        <v>2555</v>
      </c>
      <c r="C932" s="1">
        <v>41275</v>
      </c>
      <c r="D932" s="1">
        <v>41639</v>
      </c>
      <c r="E932" t="s">
        <v>104</v>
      </c>
      <c r="G932" t="s">
        <v>28</v>
      </c>
      <c r="H932" t="s">
        <v>29</v>
      </c>
      <c r="I932" t="str">
        <f>"60680"</f>
        <v>60680</v>
      </c>
      <c r="J932" t="s">
        <v>22</v>
      </c>
      <c r="K932" t="s">
        <v>30</v>
      </c>
      <c r="L932" s="2">
        <v>6141936</v>
      </c>
      <c r="M932" s="2">
        <v>1719925</v>
      </c>
      <c r="N932" s="2">
        <v>0</v>
      </c>
      <c r="O932" s="2">
        <v>361520</v>
      </c>
      <c r="P932" t="s">
        <v>24</v>
      </c>
      <c r="Q932" t="s">
        <v>24</v>
      </c>
    </row>
    <row r="933" spans="1:17" x14ac:dyDescent="0.25">
      <c r="A933" t="s">
        <v>773</v>
      </c>
      <c r="B933" t="s">
        <v>774</v>
      </c>
      <c r="C933" s="1">
        <v>41275</v>
      </c>
      <c r="D933" s="1">
        <v>41639</v>
      </c>
      <c r="E933" t="s">
        <v>775</v>
      </c>
      <c r="G933" t="s">
        <v>776</v>
      </c>
      <c r="H933" t="s">
        <v>62</v>
      </c>
      <c r="I933" t="str">
        <f>"44040"</f>
        <v>44040</v>
      </c>
      <c r="J933" t="s">
        <v>22</v>
      </c>
      <c r="K933" t="s">
        <v>91</v>
      </c>
      <c r="L933" s="2">
        <v>6139314</v>
      </c>
      <c r="M933" s="2">
        <v>123651</v>
      </c>
      <c r="N933" s="2">
        <v>0</v>
      </c>
      <c r="O933" s="2">
        <v>1967262</v>
      </c>
      <c r="P933" t="s">
        <v>24</v>
      </c>
      <c r="Q933" t="s">
        <v>24</v>
      </c>
    </row>
    <row r="934" spans="1:17" x14ac:dyDescent="0.25">
      <c r="A934" t="s">
        <v>6842</v>
      </c>
      <c r="B934" t="s">
        <v>6843</v>
      </c>
      <c r="C934" s="1">
        <v>41548</v>
      </c>
      <c r="D934" s="1">
        <v>41912</v>
      </c>
      <c r="E934" t="s">
        <v>6844</v>
      </c>
      <c r="G934" t="s">
        <v>6845</v>
      </c>
      <c r="H934" t="s">
        <v>47</v>
      </c>
      <c r="I934" t="str">
        <f>"48867"</f>
        <v>48867</v>
      </c>
      <c r="J934" t="s">
        <v>63</v>
      </c>
      <c r="K934" t="s">
        <v>79</v>
      </c>
      <c r="L934" s="2">
        <v>6134071</v>
      </c>
      <c r="M934" s="2">
        <v>803000</v>
      </c>
      <c r="N934" s="2">
        <v>54371</v>
      </c>
      <c r="O934" s="2">
        <v>305931</v>
      </c>
      <c r="P934" s="2">
        <v>33329</v>
      </c>
      <c r="Q934" s="2">
        <v>20721</v>
      </c>
    </row>
    <row r="935" spans="1:17" x14ac:dyDescent="0.25">
      <c r="A935" t="s">
        <v>1802</v>
      </c>
      <c r="B935" t="s">
        <v>1803</v>
      </c>
      <c r="C935" s="1">
        <v>41275</v>
      </c>
      <c r="D935" s="1">
        <v>41639</v>
      </c>
      <c r="E935" t="s">
        <v>1804</v>
      </c>
      <c r="G935" t="s">
        <v>1805</v>
      </c>
      <c r="H935" t="s">
        <v>29</v>
      </c>
      <c r="I935" t="str">
        <f>"60450"</f>
        <v>60450</v>
      </c>
      <c r="J935" t="s">
        <v>63</v>
      </c>
      <c r="K935" t="s">
        <v>64</v>
      </c>
      <c r="L935" s="2">
        <v>6111272</v>
      </c>
      <c r="M935" s="2">
        <v>445368</v>
      </c>
      <c r="N935" s="2">
        <v>0</v>
      </c>
      <c r="O935" s="2">
        <v>514640</v>
      </c>
      <c r="P935" s="2">
        <v>77693</v>
      </c>
      <c r="Q935" s="2">
        <v>9852</v>
      </c>
    </row>
    <row r="936" spans="1:17" x14ac:dyDescent="0.25">
      <c r="A936" t="s">
        <v>7765</v>
      </c>
      <c r="B936" t="s">
        <v>7766</v>
      </c>
      <c r="C936" s="1">
        <v>41275</v>
      </c>
      <c r="D936" s="1">
        <v>41639</v>
      </c>
      <c r="E936" t="s">
        <v>163</v>
      </c>
      <c r="G936" t="s">
        <v>28</v>
      </c>
      <c r="H936" t="s">
        <v>29</v>
      </c>
      <c r="I936" t="str">
        <f>"60603"</f>
        <v>60603</v>
      </c>
      <c r="J936" t="s">
        <v>22</v>
      </c>
      <c r="K936" t="s">
        <v>23</v>
      </c>
      <c r="L936" s="2">
        <v>6106625</v>
      </c>
      <c r="M936" s="2">
        <v>1784940</v>
      </c>
      <c r="N936" s="2">
        <v>0</v>
      </c>
      <c r="O936" s="2">
        <v>332788</v>
      </c>
      <c r="P936" t="s">
        <v>24</v>
      </c>
      <c r="Q936" t="s">
        <v>24</v>
      </c>
    </row>
    <row r="937" spans="1:17" x14ac:dyDescent="0.25">
      <c r="A937" t="s">
        <v>3656</v>
      </c>
      <c r="B937" t="s">
        <v>3657</v>
      </c>
      <c r="C937" s="1">
        <v>41275</v>
      </c>
      <c r="D937" s="1">
        <v>41639</v>
      </c>
      <c r="E937" t="s">
        <v>3658</v>
      </c>
      <c r="G937" t="s">
        <v>512</v>
      </c>
      <c r="H937" t="s">
        <v>21</v>
      </c>
      <c r="I937" t="str">
        <f>"46516"</f>
        <v>46516</v>
      </c>
      <c r="J937" t="s">
        <v>22</v>
      </c>
      <c r="K937" t="s">
        <v>23</v>
      </c>
      <c r="L937" s="2">
        <v>6075583</v>
      </c>
      <c r="M937" s="2">
        <v>1736702</v>
      </c>
      <c r="N937" s="2">
        <v>405</v>
      </c>
      <c r="O937" s="2">
        <v>364673</v>
      </c>
      <c r="P937" t="s">
        <v>24</v>
      </c>
      <c r="Q937" t="s">
        <v>24</v>
      </c>
    </row>
    <row r="938" spans="1:17" x14ac:dyDescent="0.25">
      <c r="A938" t="s">
        <v>5794</v>
      </c>
      <c r="B938" t="s">
        <v>5795</v>
      </c>
      <c r="C938" s="1">
        <v>41275</v>
      </c>
      <c r="D938" s="1">
        <v>41639</v>
      </c>
      <c r="E938" t="s">
        <v>5796</v>
      </c>
      <c r="G938" t="s">
        <v>5797</v>
      </c>
      <c r="H938" t="s">
        <v>21</v>
      </c>
      <c r="I938" t="str">
        <f>"47348"</f>
        <v>47348</v>
      </c>
      <c r="J938" t="s">
        <v>63</v>
      </c>
      <c r="K938" t="s">
        <v>64</v>
      </c>
      <c r="L938" s="2">
        <v>6066589</v>
      </c>
      <c r="M938" s="2">
        <v>560363</v>
      </c>
      <c r="N938" s="2">
        <v>154535</v>
      </c>
      <c r="O938" s="2">
        <v>497297</v>
      </c>
      <c r="P938" s="2">
        <v>117099</v>
      </c>
      <c r="Q938" s="2">
        <v>76328</v>
      </c>
    </row>
    <row r="939" spans="1:17" x14ac:dyDescent="0.25">
      <c r="A939" t="s">
        <v>3316</v>
      </c>
      <c r="B939" t="s">
        <v>3317</v>
      </c>
      <c r="C939" s="1">
        <v>41275</v>
      </c>
      <c r="D939" s="1">
        <v>41639</v>
      </c>
      <c r="E939" t="s">
        <v>3318</v>
      </c>
      <c r="G939" t="s">
        <v>28</v>
      </c>
      <c r="H939" t="s">
        <v>29</v>
      </c>
      <c r="I939" t="str">
        <f>"60622"</f>
        <v>60622</v>
      </c>
      <c r="J939" t="s">
        <v>22</v>
      </c>
      <c r="K939" t="s">
        <v>23</v>
      </c>
      <c r="L939" s="2">
        <v>6063088</v>
      </c>
      <c r="M939" s="2">
        <v>644892</v>
      </c>
      <c r="N939" s="2">
        <v>0</v>
      </c>
      <c r="O939" s="2">
        <v>320310</v>
      </c>
      <c r="P939" t="s">
        <v>24</v>
      </c>
      <c r="Q939" t="s">
        <v>24</v>
      </c>
    </row>
    <row r="940" spans="1:17" x14ac:dyDescent="0.25">
      <c r="A940" t="s">
        <v>3218</v>
      </c>
      <c r="B940" t="s">
        <v>3219</v>
      </c>
      <c r="C940" s="1">
        <v>41275</v>
      </c>
      <c r="D940" s="1">
        <v>41639</v>
      </c>
      <c r="E940" t="s">
        <v>3220</v>
      </c>
      <c r="G940" t="s">
        <v>517</v>
      </c>
      <c r="H940" t="s">
        <v>62</v>
      </c>
      <c r="I940" t="str">
        <f>"45402"</f>
        <v>45402</v>
      </c>
      <c r="J940" t="s">
        <v>22</v>
      </c>
      <c r="K940" t="s">
        <v>30</v>
      </c>
      <c r="L940" s="2">
        <v>6046955</v>
      </c>
      <c r="M940" s="2">
        <v>1325407</v>
      </c>
      <c r="N940" s="2">
        <v>0</v>
      </c>
      <c r="O940" s="2">
        <v>275884</v>
      </c>
      <c r="P940" t="s">
        <v>24</v>
      </c>
      <c r="Q940" t="s">
        <v>24</v>
      </c>
    </row>
    <row r="941" spans="1:17" x14ac:dyDescent="0.25">
      <c r="A941" t="s">
        <v>1837</v>
      </c>
      <c r="B941" t="s">
        <v>1838</v>
      </c>
      <c r="C941" s="1">
        <v>40909</v>
      </c>
      <c r="D941" s="1">
        <v>41274</v>
      </c>
      <c r="E941" t="s">
        <v>1839</v>
      </c>
      <c r="G941" t="s">
        <v>246</v>
      </c>
      <c r="H941" t="s">
        <v>29</v>
      </c>
      <c r="I941" t="str">
        <f>"60563"</f>
        <v>60563</v>
      </c>
      <c r="J941" t="s">
        <v>63</v>
      </c>
      <c r="K941" t="s">
        <v>1840</v>
      </c>
      <c r="L941" s="2">
        <v>6046067</v>
      </c>
      <c r="M941" s="2">
        <v>4021475</v>
      </c>
      <c r="N941" s="2">
        <v>9000</v>
      </c>
      <c r="O941" s="2">
        <v>317431</v>
      </c>
      <c r="P941" s="2">
        <v>20627</v>
      </c>
      <c r="Q941" s="2">
        <v>0</v>
      </c>
    </row>
    <row r="942" spans="1:17" x14ac:dyDescent="0.25">
      <c r="A942" t="s">
        <v>6719</v>
      </c>
      <c r="B942" t="s">
        <v>6720</v>
      </c>
      <c r="C942" s="1">
        <v>41153</v>
      </c>
      <c r="D942" s="1">
        <v>41517</v>
      </c>
      <c r="E942" t="s">
        <v>104</v>
      </c>
      <c r="G942" t="s">
        <v>28</v>
      </c>
      <c r="H942" t="s">
        <v>29</v>
      </c>
      <c r="I942" t="str">
        <f>"60680"</f>
        <v>60680</v>
      </c>
      <c r="J942" t="s">
        <v>22</v>
      </c>
      <c r="K942" t="s">
        <v>23</v>
      </c>
      <c r="L942" s="2">
        <v>6029463</v>
      </c>
      <c r="M942" s="2">
        <v>1149681</v>
      </c>
      <c r="N942" s="2">
        <v>0</v>
      </c>
      <c r="O942" s="2">
        <v>360182</v>
      </c>
      <c r="P942" t="s">
        <v>24</v>
      </c>
      <c r="Q942" t="s">
        <v>24</v>
      </c>
    </row>
    <row r="943" spans="1:17" x14ac:dyDescent="0.25">
      <c r="A943" t="s">
        <v>4848</v>
      </c>
      <c r="B943" t="s">
        <v>4849</v>
      </c>
      <c r="C943" s="1">
        <v>41365</v>
      </c>
      <c r="D943" s="1">
        <v>41729</v>
      </c>
      <c r="E943" t="s">
        <v>4850</v>
      </c>
      <c r="G943" t="s">
        <v>783</v>
      </c>
      <c r="H943" t="s">
        <v>21</v>
      </c>
      <c r="I943" t="str">
        <f>"46032"</f>
        <v>46032</v>
      </c>
      <c r="J943" t="s">
        <v>22</v>
      </c>
      <c r="K943" t="s">
        <v>23</v>
      </c>
      <c r="L943" s="2">
        <v>6023476</v>
      </c>
      <c r="M943" s="2">
        <v>262119</v>
      </c>
      <c r="N943" s="2">
        <v>0</v>
      </c>
      <c r="O943" s="2">
        <v>267097</v>
      </c>
      <c r="P943" t="s">
        <v>24</v>
      </c>
      <c r="Q943" t="s">
        <v>24</v>
      </c>
    </row>
    <row r="944" spans="1:17" x14ac:dyDescent="0.25">
      <c r="A944" t="s">
        <v>4577</v>
      </c>
      <c r="B944" t="s">
        <v>4578</v>
      </c>
      <c r="C944" s="1">
        <v>41275</v>
      </c>
      <c r="D944" s="1">
        <v>41639</v>
      </c>
      <c r="E944" t="s">
        <v>4579</v>
      </c>
      <c r="G944" t="s">
        <v>4580</v>
      </c>
      <c r="H944" t="s">
        <v>78</v>
      </c>
      <c r="I944" t="str">
        <f>"41727"</f>
        <v>41727</v>
      </c>
      <c r="J944" t="s">
        <v>63</v>
      </c>
      <c r="K944" t="s">
        <v>64</v>
      </c>
      <c r="L944" s="2">
        <v>6018332</v>
      </c>
      <c r="M944" s="2">
        <v>629675</v>
      </c>
      <c r="N944" s="2">
        <v>6974</v>
      </c>
      <c r="O944" s="2">
        <v>490603</v>
      </c>
      <c r="P944" s="2">
        <v>74506</v>
      </c>
      <c r="Q944" s="2">
        <v>79001</v>
      </c>
    </row>
    <row r="945" spans="1:17" x14ac:dyDescent="0.25">
      <c r="A945" t="s">
        <v>4651</v>
      </c>
      <c r="B945" t="s">
        <v>4652</v>
      </c>
      <c r="C945" s="1">
        <v>41275</v>
      </c>
      <c r="D945" s="1">
        <v>41639</v>
      </c>
      <c r="E945" t="s">
        <v>4653</v>
      </c>
      <c r="G945" t="s">
        <v>4654</v>
      </c>
      <c r="H945" t="s">
        <v>62</v>
      </c>
      <c r="I945" t="str">
        <f>"44875"</f>
        <v>44875</v>
      </c>
      <c r="J945" t="s">
        <v>63</v>
      </c>
      <c r="K945" t="s">
        <v>64</v>
      </c>
      <c r="L945" s="2">
        <v>6002608</v>
      </c>
      <c r="M945" s="2">
        <v>571966</v>
      </c>
      <c r="N945" s="2">
        <v>723164</v>
      </c>
      <c r="O945" s="2">
        <v>502917</v>
      </c>
      <c r="P945" s="2">
        <v>80338</v>
      </c>
      <c r="Q945" s="2">
        <v>0</v>
      </c>
    </row>
    <row r="946" spans="1:17" x14ac:dyDescent="0.25">
      <c r="A946" t="s">
        <v>6790</v>
      </c>
      <c r="B946" t="s">
        <v>6791</v>
      </c>
      <c r="C946" s="1">
        <v>40909</v>
      </c>
      <c r="D946" s="1">
        <v>41274</v>
      </c>
      <c r="E946" t="s">
        <v>4324</v>
      </c>
      <c r="G946" t="s">
        <v>627</v>
      </c>
      <c r="H946" t="s">
        <v>29</v>
      </c>
      <c r="I946" t="str">
        <f>"60201"</f>
        <v>60201</v>
      </c>
      <c r="J946" t="s">
        <v>22</v>
      </c>
      <c r="K946" t="s">
        <v>91</v>
      </c>
      <c r="L946" s="2">
        <v>5995296</v>
      </c>
      <c r="M946" s="2">
        <v>1131298</v>
      </c>
      <c r="N946" s="2">
        <v>0</v>
      </c>
      <c r="O946" s="2">
        <v>293266</v>
      </c>
      <c r="P946" t="s">
        <v>24</v>
      </c>
      <c r="Q946" t="s">
        <v>24</v>
      </c>
    </row>
    <row r="947" spans="1:17" x14ac:dyDescent="0.25">
      <c r="A947" t="s">
        <v>7618</v>
      </c>
      <c r="B947" t="s">
        <v>7619</v>
      </c>
      <c r="C947" s="1">
        <v>40909</v>
      </c>
      <c r="D947" s="1">
        <v>41274</v>
      </c>
      <c r="E947" t="s">
        <v>7620</v>
      </c>
      <c r="G947" t="s">
        <v>28</v>
      </c>
      <c r="H947" t="s">
        <v>29</v>
      </c>
      <c r="I947" t="str">
        <f>"60601"</f>
        <v>60601</v>
      </c>
      <c r="J947" t="s">
        <v>22</v>
      </c>
      <c r="K947" t="s">
        <v>23</v>
      </c>
      <c r="L947" s="2">
        <v>5989407</v>
      </c>
      <c r="M947" s="2">
        <v>1130739</v>
      </c>
      <c r="N947" s="2">
        <v>185600</v>
      </c>
      <c r="O947" s="2">
        <v>401308</v>
      </c>
      <c r="P947" t="s">
        <v>24</v>
      </c>
      <c r="Q947" t="s">
        <v>24</v>
      </c>
    </row>
    <row r="948" spans="1:17" x14ac:dyDescent="0.25">
      <c r="A948" t="s">
        <v>5981</v>
      </c>
      <c r="B948" t="s">
        <v>5982</v>
      </c>
      <c r="C948" s="1">
        <v>41275</v>
      </c>
      <c r="D948" s="1">
        <v>41639</v>
      </c>
      <c r="E948" t="s">
        <v>5983</v>
      </c>
      <c r="G948" t="s">
        <v>783</v>
      </c>
      <c r="H948" t="s">
        <v>21</v>
      </c>
      <c r="I948" t="str">
        <f>"46032"</f>
        <v>46032</v>
      </c>
      <c r="J948" t="s">
        <v>22</v>
      </c>
      <c r="K948" t="s">
        <v>30</v>
      </c>
      <c r="L948" s="2">
        <v>5986433</v>
      </c>
      <c r="M948" s="2">
        <v>6350325</v>
      </c>
      <c r="N948" s="2">
        <v>0</v>
      </c>
      <c r="O948" s="2">
        <v>930552</v>
      </c>
      <c r="P948" t="s">
        <v>24</v>
      </c>
      <c r="Q948" t="s">
        <v>24</v>
      </c>
    </row>
    <row r="949" spans="1:17" x14ac:dyDescent="0.25">
      <c r="A949" t="s">
        <v>6355</v>
      </c>
      <c r="B949" t="s">
        <v>6356</v>
      </c>
      <c r="C949" s="1">
        <v>41275</v>
      </c>
      <c r="D949" s="1">
        <v>41639</v>
      </c>
      <c r="E949" t="s">
        <v>6357</v>
      </c>
      <c r="G949" t="s">
        <v>28</v>
      </c>
      <c r="H949" t="s">
        <v>29</v>
      </c>
      <c r="I949" t="str">
        <f>"60602"</f>
        <v>60602</v>
      </c>
      <c r="J949" t="s">
        <v>22</v>
      </c>
      <c r="K949" t="s">
        <v>23</v>
      </c>
      <c r="L949" s="2">
        <v>5986257</v>
      </c>
      <c r="M949" s="2">
        <v>2838590</v>
      </c>
      <c r="N949" s="2">
        <v>0</v>
      </c>
      <c r="O949" s="2">
        <v>311290</v>
      </c>
      <c r="P949" t="s">
        <v>24</v>
      </c>
      <c r="Q949" t="s">
        <v>24</v>
      </c>
    </row>
    <row r="950" spans="1:17" x14ac:dyDescent="0.25">
      <c r="A950" t="s">
        <v>1280</v>
      </c>
      <c r="B950" t="s">
        <v>1281</v>
      </c>
      <c r="C950" s="1">
        <v>41183</v>
      </c>
      <c r="D950" s="1">
        <v>41547</v>
      </c>
      <c r="E950" t="s">
        <v>1282</v>
      </c>
      <c r="F950" t="s">
        <v>1283</v>
      </c>
      <c r="G950" t="s">
        <v>1284</v>
      </c>
      <c r="H950" t="s">
        <v>47</v>
      </c>
      <c r="I950" t="str">
        <f>"49036"</f>
        <v>49036</v>
      </c>
      <c r="J950" t="s">
        <v>63</v>
      </c>
      <c r="K950" t="s">
        <v>64</v>
      </c>
      <c r="L950" s="2">
        <v>5982325</v>
      </c>
      <c r="M950" s="2">
        <v>685003</v>
      </c>
      <c r="N950" s="2">
        <v>114733</v>
      </c>
      <c r="O950" s="2">
        <v>506801</v>
      </c>
      <c r="P950" s="2">
        <v>56464</v>
      </c>
      <c r="Q950" s="2">
        <v>61955</v>
      </c>
    </row>
    <row r="951" spans="1:17" x14ac:dyDescent="0.25">
      <c r="A951" t="s">
        <v>1194</v>
      </c>
      <c r="B951" t="s">
        <v>1195</v>
      </c>
      <c r="C951" s="1">
        <v>41275</v>
      </c>
      <c r="D951" s="1">
        <v>41639</v>
      </c>
      <c r="E951" t="s">
        <v>1196</v>
      </c>
      <c r="G951" t="s">
        <v>167</v>
      </c>
      <c r="H951" t="s">
        <v>62</v>
      </c>
      <c r="I951" t="str">
        <f>"45244"</f>
        <v>45244</v>
      </c>
      <c r="J951" t="s">
        <v>22</v>
      </c>
      <c r="K951" t="s">
        <v>30</v>
      </c>
      <c r="L951" s="2">
        <v>5970803</v>
      </c>
      <c r="M951" s="2">
        <v>2420282</v>
      </c>
      <c r="N951" s="2">
        <v>13662</v>
      </c>
      <c r="O951" s="2">
        <v>370580</v>
      </c>
      <c r="P951" t="s">
        <v>24</v>
      </c>
      <c r="Q951" t="s">
        <v>24</v>
      </c>
    </row>
    <row r="952" spans="1:17" x14ac:dyDescent="0.25">
      <c r="A952" t="s">
        <v>5466</v>
      </c>
      <c r="B952" t="s">
        <v>5467</v>
      </c>
      <c r="C952" s="1">
        <v>41275</v>
      </c>
      <c r="D952" s="1">
        <v>41639</v>
      </c>
      <c r="E952" t="s">
        <v>5468</v>
      </c>
      <c r="G952" t="s">
        <v>1809</v>
      </c>
      <c r="H952" t="s">
        <v>29</v>
      </c>
      <c r="I952" t="str">
        <f>"60045"</f>
        <v>60045</v>
      </c>
      <c r="J952" t="s">
        <v>22</v>
      </c>
      <c r="K952" t="s">
        <v>23</v>
      </c>
      <c r="L952" s="2">
        <v>5969491</v>
      </c>
      <c r="M952" s="2">
        <v>6298291</v>
      </c>
      <c r="N952" s="2">
        <v>0</v>
      </c>
      <c r="O952" s="2">
        <v>1755246</v>
      </c>
      <c r="P952" t="s">
        <v>24</v>
      </c>
      <c r="Q952" t="s">
        <v>24</v>
      </c>
    </row>
    <row r="953" spans="1:17" x14ac:dyDescent="0.25">
      <c r="A953" t="s">
        <v>358</v>
      </c>
      <c r="B953" t="s">
        <v>359</v>
      </c>
      <c r="C953" s="1">
        <v>41275</v>
      </c>
      <c r="D953" s="1">
        <v>41639</v>
      </c>
      <c r="E953" t="s">
        <v>360</v>
      </c>
      <c r="G953" t="s">
        <v>202</v>
      </c>
      <c r="H953" t="s">
        <v>62</v>
      </c>
      <c r="I953" t="str">
        <f>"43017"</f>
        <v>43017</v>
      </c>
      <c r="J953" t="s">
        <v>22</v>
      </c>
      <c r="K953" t="s">
        <v>79</v>
      </c>
      <c r="L953" s="2">
        <v>5968287</v>
      </c>
      <c r="M953" s="2">
        <v>4323472</v>
      </c>
      <c r="N953" s="2">
        <v>397298</v>
      </c>
      <c r="O953" s="2">
        <v>1002338</v>
      </c>
      <c r="P953" t="s">
        <v>24</v>
      </c>
      <c r="Q953" t="s">
        <v>24</v>
      </c>
    </row>
    <row r="954" spans="1:17" x14ac:dyDescent="0.25">
      <c r="A954" t="s">
        <v>2107</v>
      </c>
      <c r="B954" t="s">
        <v>2108</v>
      </c>
      <c r="C954" s="1">
        <v>41275</v>
      </c>
      <c r="D954" s="1">
        <v>41639</v>
      </c>
      <c r="E954" t="s">
        <v>2109</v>
      </c>
      <c r="G954" t="s">
        <v>2110</v>
      </c>
      <c r="H954" t="s">
        <v>47</v>
      </c>
      <c r="I954" t="str">
        <f>"48909"</f>
        <v>48909</v>
      </c>
      <c r="J954" t="s">
        <v>22</v>
      </c>
      <c r="K954" t="s">
        <v>91</v>
      </c>
      <c r="L954" s="2">
        <v>5958221</v>
      </c>
      <c r="M954" s="2">
        <v>2565062</v>
      </c>
      <c r="N954" s="2">
        <v>0</v>
      </c>
      <c r="O954" s="2">
        <v>917786</v>
      </c>
      <c r="P954" t="s">
        <v>24</v>
      </c>
      <c r="Q954" t="s">
        <v>24</v>
      </c>
    </row>
    <row r="955" spans="1:17" x14ac:dyDescent="0.25">
      <c r="A955" t="s">
        <v>6589</v>
      </c>
      <c r="B955" t="s">
        <v>6590</v>
      </c>
      <c r="C955" s="1">
        <v>41275</v>
      </c>
      <c r="D955" s="1">
        <v>41639</v>
      </c>
      <c r="E955" t="s">
        <v>40</v>
      </c>
      <c r="G955" t="s">
        <v>41</v>
      </c>
      <c r="H955" t="s">
        <v>42</v>
      </c>
      <c r="I955" t="str">
        <f>"53201"</f>
        <v>53201</v>
      </c>
      <c r="J955" t="s">
        <v>22</v>
      </c>
      <c r="K955" t="s">
        <v>30</v>
      </c>
      <c r="L955" s="2">
        <v>5938388</v>
      </c>
      <c r="M955" s="2">
        <v>1252523</v>
      </c>
      <c r="N955" s="2">
        <v>0</v>
      </c>
      <c r="O955" s="2">
        <v>370283</v>
      </c>
      <c r="P955" t="s">
        <v>24</v>
      </c>
      <c r="Q955" t="s">
        <v>24</v>
      </c>
    </row>
    <row r="956" spans="1:17" x14ac:dyDescent="0.25">
      <c r="A956" t="s">
        <v>7390</v>
      </c>
      <c r="B956" t="s">
        <v>7391</v>
      </c>
      <c r="C956" s="1">
        <v>41275</v>
      </c>
      <c r="D956" s="1">
        <v>41639</v>
      </c>
      <c r="E956" t="s">
        <v>7392</v>
      </c>
      <c r="G956" t="s">
        <v>139</v>
      </c>
      <c r="H956" t="s">
        <v>47</v>
      </c>
      <c r="I956" t="str">
        <f>"49525"</f>
        <v>49525</v>
      </c>
      <c r="J956" t="s">
        <v>22</v>
      </c>
      <c r="K956" t="s">
        <v>23</v>
      </c>
      <c r="L956" s="2">
        <v>5937127</v>
      </c>
      <c r="M956" s="2">
        <v>2599333</v>
      </c>
      <c r="N956" s="2">
        <v>0</v>
      </c>
      <c r="O956" s="2">
        <v>258886</v>
      </c>
      <c r="P956" t="s">
        <v>24</v>
      </c>
      <c r="Q956" t="s">
        <v>24</v>
      </c>
    </row>
    <row r="957" spans="1:17" x14ac:dyDescent="0.25">
      <c r="A957" t="s">
        <v>6323</v>
      </c>
      <c r="B957" t="s">
        <v>6324</v>
      </c>
      <c r="C957" s="1">
        <v>41365</v>
      </c>
      <c r="D957" s="1">
        <v>41729</v>
      </c>
      <c r="E957" t="s">
        <v>50</v>
      </c>
      <c r="G957" t="s">
        <v>28</v>
      </c>
      <c r="H957" t="s">
        <v>29</v>
      </c>
      <c r="I957" t="str">
        <f>"60603"</f>
        <v>60603</v>
      </c>
      <c r="J957" t="s">
        <v>22</v>
      </c>
      <c r="K957" t="s">
        <v>30</v>
      </c>
      <c r="L957" s="2">
        <v>5933461</v>
      </c>
      <c r="M957" s="2">
        <v>2629597</v>
      </c>
      <c r="N957" s="2">
        <v>0</v>
      </c>
      <c r="O957" s="2">
        <v>306217</v>
      </c>
      <c r="P957" t="s">
        <v>24</v>
      </c>
      <c r="Q957" t="s">
        <v>24</v>
      </c>
    </row>
    <row r="958" spans="1:17" x14ac:dyDescent="0.25">
      <c r="A958" t="s">
        <v>2082</v>
      </c>
      <c r="B958" t="s">
        <v>2083</v>
      </c>
      <c r="C958" s="1">
        <v>41275</v>
      </c>
      <c r="D958" s="1">
        <v>41639</v>
      </c>
      <c r="E958" t="s">
        <v>2084</v>
      </c>
      <c r="G958" t="s">
        <v>1111</v>
      </c>
      <c r="H958" t="s">
        <v>21</v>
      </c>
      <c r="I958" t="str">
        <f>"47424"</f>
        <v>47424</v>
      </c>
      <c r="J958" t="s">
        <v>63</v>
      </c>
      <c r="K958" t="s">
        <v>64</v>
      </c>
      <c r="L958" s="2">
        <v>5931242</v>
      </c>
      <c r="M958" s="2">
        <v>480641</v>
      </c>
      <c r="N958" s="2">
        <v>208433</v>
      </c>
      <c r="O958" s="2">
        <v>381830</v>
      </c>
      <c r="P958" s="2">
        <v>43062</v>
      </c>
      <c r="Q958" s="2">
        <v>25502</v>
      </c>
    </row>
    <row r="959" spans="1:17" x14ac:dyDescent="0.25">
      <c r="A959" t="s">
        <v>7593</v>
      </c>
      <c r="B959" t="s">
        <v>7594</v>
      </c>
      <c r="C959" s="1">
        <v>41275</v>
      </c>
      <c r="D959" s="1">
        <v>41639</v>
      </c>
      <c r="E959" t="s">
        <v>7595</v>
      </c>
      <c r="G959" t="s">
        <v>3645</v>
      </c>
      <c r="H959" t="s">
        <v>42</v>
      </c>
      <c r="I959" t="str">
        <f>"53029"</f>
        <v>53029</v>
      </c>
      <c r="J959" t="s">
        <v>22</v>
      </c>
      <c r="K959" t="s">
        <v>23</v>
      </c>
      <c r="L959" s="2">
        <v>5921170</v>
      </c>
      <c r="M959" s="2">
        <v>4468803</v>
      </c>
      <c r="N959" s="2">
        <v>0</v>
      </c>
      <c r="O959" s="2">
        <v>295133</v>
      </c>
      <c r="P959" t="s">
        <v>24</v>
      </c>
      <c r="Q959" t="s">
        <v>24</v>
      </c>
    </row>
    <row r="960" spans="1:17" x14ac:dyDescent="0.25">
      <c r="A960" t="s">
        <v>6208</v>
      </c>
      <c r="B960" t="s">
        <v>6209</v>
      </c>
      <c r="C960" s="1">
        <v>41275</v>
      </c>
      <c r="D960" s="1">
        <v>41639</v>
      </c>
      <c r="E960" t="s">
        <v>6210</v>
      </c>
      <c r="G960" t="s">
        <v>41</v>
      </c>
      <c r="H960" t="s">
        <v>42</v>
      </c>
      <c r="I960" t="str">
        <f>"53201"</f>
        <v>53201</v>
      </c>
      <c r="J960" t="s">
        <v>22</v>
      </c>
      <c r="K960" t="s">
        <v>30</v>
      </c>
      <c r="L960" s="2">
        <v>5919954</v>
      </c>
      <c r="M960" s="2">
        <v>2013050</v>
      </c>
      <c r="N960" s="2">
        <v>0</v>
      </c>
      <c r="O960" s="2">
        <v>176543</v>
      </c>
      <c r="P960" t="s">
        <v>24</v>
      </c>
      <c r="Q960" t="s">
        <v>24</v>
      </c>
    </row>
    <row r="961" spans="1:17" x14ac:dyDescent="0.25">
      <c r="A961" t="s">
        <v>3724</v>
      </c>
      <c r="B961" t="s">
        <v>3725</v>
      </c>
      <c r="C961" s="1">
        <v>41275</v>
      </c>
      <c r="D961" s="1">
        <v>41639</v>
      </c>
      <c r="E961" t="s">
        <v>3726</v>
      </c>
      <c r="G961" t="s">
        <v>20</v>
      </c>
      <c r="H961" t="s">
        <v>21</v>
      </c>
      <c r="I961" t="str">
        <f>"46228"</f>
        <v>46228</v>
      </c>
      <c r="J961" t="s">
        <v>22</v>
      </c>
      <c r="K961" t="s">
        <v>91</v>
      </c>
      <c r="L961" s="2">
        <v>5917386</v>
      </c>
      <c r="M961" s="2">
        <v>1817991</v>
      </c>
      <c r="N961" s="2">
        <v>101500</v>
      </c>
      <c r="O961" s="2">
        <v>425547</v>
      </c>
      <c r="P961" t="s">
        <v>24</v>
      </c>
      <c r="Q961" t="s">
        <v>24</v>
      </c>
    </row>
    <row r="962" spans="1:17" x14ac:dyDescent="0.25">
      <c r="A962" t="s">
        <v>6883</v>
      </c>
      <c r="B962" t="s">
        <v>6884</v>
      </c>
      <c r="C962" s="1">
        <v>41183</v>
      </c>
      <c r="D962" s="1">
        <v>41547</v>
      </c>
      <c r="E962" t="s">
        <v>6885</v>
      </c>
      <c r="G962" t="s">
        <v>6886</v>
      </c>
      <c r="H962" t="s">
        <v>42</v>
      </c>
      <c r="I962" t="str">
        <f>"54467"</f>
        <v>54467</v>
      </c>
      <c r="J962" t="s">
        <v>22</v>
      </c>
      <c r="K962" t="s">
        <v>30</v>
      </c>
      <c r="L962" s="2">
        <v>5916390</v>
      </c>
      <c r="M962" s="2">
        <v>2492296</v>
      </c>
      <c r="N962" s="2">
        <v>0</v>
      </c>
      <c r="O962" s="2">
        <v>326567</v>
      </c>
      <c r="P962" t="s">
        <v>24</v>
      </c>
      <c r="Q962" t="s">
        <v>24</v>
      </c>
    </row>
    <row r="963" spans="1:17" x14ac:dyDescent="0.25">
      <c r="A963" t="s">
        <v>5846</v>
      </c>
      <c r="B963" t="s">
        <v>5847</v>
      </c>
      <c r="C963" s="1">
        <v>41275</v>
      </c>
      <c r="D963" s="1">
        <v>41639</v>
      </c>
      <c r="E963" t="s">
        <v>5848</v>
      </c>
      <c r="G963" t="s">
        <v>28</v>
      </c>
      <c r="H963" t="s">
        <v>29</v>
      </c>
      <c r="I963" t="str">
        <f>"60611"</f>
        <v>60611</v>
      </c>
      <c r="J963" t="s">
        <v>22</v>
      </c>
      <c r="K963" t="s">
        <v>23</v>
      </c>
      <c r="L963" s="2">
        <v>5909940</v>
      </c>
      <c r="M963" s="2">
        <v>439871</v>
      </c>
      <c r="N963" s="2">
        <v>0</v>
      </c>
      <c r="O963" s="2">
        <v>306969</v>
      </c>
      <c r="P963" t="s">
        <v>24</v>
      </c>
      <c r="Q963" t="s">
        <v>24</v>
      </c>
    </row>
    <row r="964" spans="1:17" x14ac:dyDescent="0.25">
      <c r="A964" t="s">
        <v>5085</v>
      </c>
      <c r="B964" t="s">
        <v>5086</v>
      </c>
      <c r="C964" s="1">
        <v>41275</v>
      </c>
      <c r="D964" s="1">
        <v>41639</v>
      </c>
      <c r="E964" t="s">
        <v>5087</v>
      </c>
      <c r="G964" t="s">
        <v>684</v>
      </c>
      <c r="H964" t="s">
        <v>21</v>
      </c>
      <c r="I964" t="str">
        <f>"47902"</f>
        <v>47902</v>
      </c>
      <c r="J964" t="s">
        <v>22</v>
      </c>
      <c r="K964" t="s">
        <v>30</v>
      </c>
      <c r="L964" s="2">
        <v>5907788</v>
      </c>
      <c r="M964" s="2">
        <v>2305958</v>
      </c>
      <c r="N964" s="2">
        <v>0</v>
      </c>
      <c r="O964" s="2">
        <v>381208</v>
      </c>
      <c r="P964" t="s">
        <v>24</v>
      </c>
      <c r="Q964" t="s">
        <v>24</v>
      </c>
    </row>
    <row r="965" spans="1:17" x14ac:dyDescent="0.25">
      <c r="A965" t="s">
        <v>4719</v>
      </c>
      <c r="B965" t="s">
        <v>4720</v>
      </c>
      <c r="C965" s="1">
        <v>41091</v>
      </c>
      <c r="D965" s="1">
        <v>41455</v>
      </c>
      <c r="E965" t="s">
        <v>4721</v>
      </c>
      <c r="G965" t="s">
        <v>843</v>
      </c>
      <c r="H965" t="s">
        <v>29</v>
      </c>
      <c r="I965" t="str">
        <f>"61107"</f>
        <v>61107</v>
      </c>
      <c r="J965" t="s">
        <v>63</v>
      </c>
      <c r="K965" t="s">
        <v>79</v>
      </c>
      <c r="L965" s="2">
        <v>5905820</v>
      </c>
      <c r="M965" s="2">
        <v>1253468</v>
      </c>
      <c r="N965" s="2">
        <v>22391</v>
      </c>
      <c r="O965" s="2">
        <v>818640</v>
      </c>
      <c r="P965" s="2">
        <v>134418</v>
      </c>
      <c r="Q965" s="2">
        <v>20620</v>
      </c>
    </row>
    <row r="966" spans="1:17" x14ac:dyDescent="0.25">
      <c r="A966" t="s">
        <v>5226</v>
      </c>
      <c r="B966" t="s">
        <v>5227</v>
      </c>
      <c r="C966" s="1">
        <v>41487</v>
      </c>
      <c r="D966" s="1">
        <v>41851</v>
      </c>
      <c r="E966" t="s">
        <v>5228</v>
      </c>
      <c r="G966" t="s">
        <v>1965</v>
      </c>
      <c r="H966" t="s">
        <v>47</v>
      </c>
      <c r="I966" t="str">
        <f>"48170"</f>
        <v>48170</v>
      </c>
      <c r="J966" t="s">
        <v>22</v>
      </c>
      <c r="K966" t="s">
        <v>30</v>
      </c>
      <c r="L966" s="2">
        <v>5863864</v>
      </c>
      <c r="M966" s="2">
        <v>1891828</v>
      </c>
      <c r="N966" s="2">
        <v>0</v>
      </c>
      <c r="O966" s="2">
        <v>721129</v>
      </c>
      <c r="P966" t="s">
        <v>24</v>
      </c>
      <c r="Q966" t="s">
        <v>24</v>
      </c>
    </row>
    <row r="967" spans="1:17" x14ac:dyDescent="0.25">
      <c r="A967" t="s">
        <v>5764</v>
      </c>
      <c r="B967" t="s">
        <v>5765</v>
      </c>
      <c r="C967" s="1">
        <v>41275</v>
      </c>
      <c r="D967" s="1">
        <v>41639</v>
      </c>
      <c r="E967" t="s">
        <v>489</v>
      </c>
      <c r="G967" t="s">
        <v>337</v>
      </c>
      <c r="H967" t="s">
        <v>62</v>
      </c>
      <c r="I967" t="str">
        <f>"44101"</f>
        <v>44101</v>
      </c>
      <c r="J967" t="s">
        <v>752</v>
      </c>
      <c r="K967" t="s">
        <v>753</v>
      </c>
      <c r="L967" s="2">
        <v>5854314</v>
      </c>
      <c r="M967" s="2">
        <v>3659237</v>
      </c>
      <c r="N967" s="2">
        <v>0</v>
      </c>
      <c r="O967" s="2">
        <v>39660</v>
      </c>
      <c r="P967" t="s">
        <v>24</v>
      </c>
      <c r="Q967" t="s">
        <v>24</v>
      </c>
    </row>
    <row r="968" spans="1:17" x14ac:dyDescent="0.25">
      <c r="A968" t="s">
        <v>4801</v>
      </c>
      <c r="B968" t="s">
        <v>4802</v>
      </c>
      <c r="C968" s="1">
        <v>41456</v>
      </c>
      <c r="D968" s="1">
        <v>41820</v>
      </c>
      <c r="E968" t="s">
        <v>4803</v>
      </c>
      <c r="G968" t="s">
        <v>4804</v>
      </c>
      <c r="H968" t="s">
        <v>62</v>
      </c>
      <c r="I968" t="str">
        <f>"45885"</f>
        <v>45885</v>
      </c>
      <c r="J968" t="s">
        <v>63</v>
      </c>
      <c r="K968" t="s">
        <v>64</v>
      </c>
      <c r="L968" s="2">
        <v>5853464</v>
      </c>
      <c r="M968" s="2">
        <v>675921</v>
      </c>
      <c r="N968" s="2">
        <v>0</v>
      </c>
      <c r="O968" s="2">
        <v>510423</v>
      </c>
      <c r="P968" s="2">
        <v>47396</v>
      </c>
      <c r="Q968" s="2">
        <v>0</v>
      </c>
    </row>
    <row r="969" spans="1:17" x14ac:dyDescent="0.25">
      <c r="A969" t="s">
        <v>1180</v>
      </c>
      <c r="B969" t="s">
        <v>1181</v>
      </c>
      <c r="C969" s="1">
        <v>41275</v>
      </c>
      <c r="D969" s="1">
        <v>41639</v>
      </c>
      <c r="E969" t="s">
        <v>1182</v>
      </c>
      <c r="G969" t="s">
        <v>28</v>
      </c>
      <c r="H969" t="s">
        <v>29</v>
      </c>
      <c r="I969" t="str">
        <f>"60606"</f>
        <v>60606</v>
      </c>
      <c r="J969" t="s">
        <v>22</v>
      </c>
      <c r="K969" t="s">
        <v>23</v>
      </c>
      <c r="L969" s="2">
        <v>5843140</v>
      </c>
      <c r="M969" s="2">
        <v>2675188</v>
      </c>
      <c r="N969" s="2">
        <v>0</v>
      </c>
      <c r="O969" s="2">
        <v>625918</v>
      </c>
      <c r="P969" t="s">
        <v>24</v>
      </c>
      <c r="Q969" t="s">
        <v>24</v>
      </c>
    </row>
    <row r="970" spans="1:17" x14ac:dyDescent="0.25">
      <c r="A970" t="s">
        <v>7350</v>
      </c>
      <c r="B970" t="s">
        <v>7351</v>
      </c>
      <c r="C970" s="1">
        <v>41275</v>
      </c>
      <c r="D970" s="1">
        <v>41639</v>
      </c>
      <c r="E970" t="s">
        <v>7352</v>
      </c>
      <c r="G970" t="s">
        <v>7353</v>
      </c>
      <c r="H970" t="s">
        <v>62</v>
      </c>
      <c r="I970" t="str">
        <f>"45833"</f>
        <v>45833</v>
      </c>
      <c r="J970" t="s">
        <v>22</v>
      </c>
      <c r="K970" t="s">
        <v>23</v>
      </c>
      <c r="L970" s="2">
        <v>5798517</v>
      </c>
      <c r="M970" s="2">
        <v>1103625</v>
      </c>
      <c r="N970" s="2">
        <v>0</v>
      </c>
      <c r="O970" s="2">
        <v>330778</v>
      </c>
      <c r="P970" t="s">
        <v>24</v>
      </c>
      <c r="Q970" t="s">
        <v>24</v>
      </c>
    </row>
    <row r="971" spans="1:17" x14ac:dyDescent="0.25">
      <c r="A971" t="s">
        <v>2857</v>
      </c>
      <c r="B971" t="s">
        <v>2858</v>
      </c>
      <c r="C971" s="1">
        <v>41334</v>
      </c>
      <c r="D971" s="1">
        <v>41698</v>
      </c>
      <c r="E971" t="s">
        <v>50</v>
      </c>
      <c r="G971" t="s">
        <v>28</v>
      </c>
      <c r="H971" t="s">
        <v>29</v>
      </c>
      <c r="I971" t="str">
        <f>"60603"</f>
        <v>60603</v>
      </c>
      <c r="J971" t="s">
        <v>22</v>
      </c>
      <c r="K971" t="s">
        <v>30</v>
      </c>
      <c r="L971" s="2">
        <v>5796274</v>
      </c>
      <c r="M971" s="2">
        <v>3388724</v>
      </c>
      <c r="N971" s="2">
        <v>0</v>
      </c>
      <c r="O971" s="2">
        <v>308930</v>
      </c>
      <c r="P971" t="s">
        <v>24</v>
      </c>
      <c r="Q971" t="s">
        <v>24</v>
      </c>
    </row>
    <row r="972" spans="1:17" x14ac:dyDescent="0.25">
      <c r="A972" t="s">
        <v>7722</v>
      </c>
      <c r="B972" t="s">
        <v>7723</v>
      </c>
      <c r="C972" s="1">
        <v>41275</v>
      </c>
      <c r="D972" s="1">
        <v>41639</v>
      </c>
      <c r="E972" t="s">
        <v>7724</v>
      </c>
      <c r="G972" t="s">
        <v>5521</v>
      </c>
      <c r="H972" t="s">
        <v>62</v>
      </c>
      <c r="I972" t="str">
        <f>"44050"</f>
        <v>44050</v>
      </c>
      <c r="J972" t="s">
        <v>22</v>
      </c>
      <c r="K972" t="s">
        <v>30</v>
      </c>
      <c r="L972" s="2">
        <v>5783438</v>
      </c>
      <c r="M972" s="2">
        <v>2930260</v>
      </c>
      <c r="N972" s="2">
        <v>0</v>
      </c>
      <c r="O972" s="2">
        <v>392645</v>
      </c>
      <c r="P972" t="s">
        <v>24</v>
      </c>
      <c r="Q972" t="s">
        <v>24</v>
      </c>
    </row>
    <row r="973" spans="1:17" x14ac:dyDescent="0.25">
      <c r="A973" t="s">
        <v>1844</v>
      </c>
      <c r="B973" t="s">
        <v>1845</v>
      </c>
      <c r="C973" s="1">
        <v>40909</v>
      </c>
      <c r="D973" s="1">
        <v>41274</v>
      </c>
      <c r="E973" t="s">
        <v>1846</v>
      </c>
      <c r="G973" t="s">
        <v>1847</v>
      </c>
      <c r="H973" t="s">
        <v>62</v>
      </c>
      <c r="I973" t="str">
        <f>"45459"</f>
        <v>45459</v>
      </c>
      <c r="J973" t="s">
        <v>22</v>
      </c>
      <c r="K973" t="s">
        <v>91</v>
      </c>
      <c r="L973" s="2">
        <v>5781886</v>
      </c>
      <c r="M973" s="2">
        <v>435509</v>
      </c>
      <c r="N973" s="2">
        <v>0</v>
      </c>
      <c r="O973" s="2">
        <v>308307</v>
      </c>
      <c r="P973" t="s">
        <v>24</v>
      </c>
      <c r="Q973" t="s">
        <v>24</v>
      </c>
    </row>
    <row r="974" spans="1:17" x14ac:dyDescent="0.25">
      <c r="A974" t="s">
        <v>1589</v>
      </c>
      <c r="B974" t="s">
        <v>1590</v>
      </c>
      <c r="C974" s="1">
        <v>41275</v>
      </c>
      <c r="D974" s="1">
        <v>41639</v>
      </c>
      <c r="E974" t="s">
        <v>1591</v>
      </c>
      <c r="G974" t="s">
        <v>307</v>
      </c>
      <c r="H974" t="s">
        <v>29</v>
      </c>
      <c r="I974" t="str">
        <f>"60093"</f>
        <v>60093</v>
      </c>
      <c r="J974" t="s">
        <v>22</v>
      </c>
      <c r="K974" t="s">
        <v>30</v>
      </c>
      <c r="L974" s="2">
        <v>5777954</v>
      </c>
      <c r="M974" s="2">
        <v>128867</v>
      </c>
      <c r="N974" s="2">
        <v>467254</v>
      </c>
      <c r="O974" s="2">
        <v>319367</v>
      </c>
      <c r="P974" t="s">
        <v>24</v>
      </c>
      <c r="Q974" t="s">
        <v>24</v>
      </c>
    </row>
    <row r="975" spans="1:17" x14ac:dyDescent="0.25">
      <c r="A975" t="s">
        <v>7513</v>
      </c>
      <c r="B975" t="s">
        <v>7514</v>
      </c>
      <c r="C975" s="1">
        <v>41275</v>
      </c>
      <c r="D975" s="1">
        <v>41639</v>
      </c>
      <c r="E975" t="s">
        <v>7515</v>
      </c>
      <c r="G975" t="s">
        <v>86</v>
      </c>
      <c r="H975" t="s">
        <v>42</v>
      </c>
      <c r="I975" t="str">
        <f>"53711"</f>
        <v>53711</v>
      </c>
      <c r="J975" t="s">
        <v>22</v>
      </c>
      <c r="K975" t="s">
        <v>30</v>
      </c>
      <c r="L975" s="2">
        <v>5769954</v>
      </c>
      <c r="M975" s="2">
        <v>4944407</v>
      </c>
      <c r="N975" s="2">
        <v>0</v>
      </c>
      <c r="O975" s="2">
        <v>757715</v>
      </c>
      <c r="P975" t="s">
        <v>24</v>
      </c>
      <c r="Q975" t="s">
        <v>24</v>
      </c>
    </row>
    <row r="976" spans="1:17" x14ac:dyDescent="0.25">
      <c r="A976" t="s">
        <v>5032</v>
      </c>
      <c r="B976" t="s">
        <v>5033</v>
      </c>
      <c r="C976" s="1">
        <v>41275</v>
      </c>
      <c r="D976" s="1">
        <v>41639</v>
      </c>
      <c r="E976" t="s">
        <v>5034</v>
      </c>
      <c r="G976" t="s">
        <v>3187</v>
      </c>
      <c r="H976" t="s">
        <v>62</v>
      </c>
      <c r="I976" t="str">
        <f>"43055"</f>
        <v>43055</v>
      </c>
      <c r="J976" t="s">
        <v>63</v>
      </c>
      <c r="K976" t="s">
        <v>79</v>
      </c>
      <c r="L976" s="2">
        <v>5769189</v>
      </c>
      <c r="M976" s="2">
        <v>322573</v>
      </c>
      <c r="N976" s="2">
        <v>162726</v>
      </c>
      <c r="O976" s="2">
        <v>53809</v>
      </c>
      <c r="P976" s="2">
        <v>17510</v>
      </c>
      <c r="Q976" s="2">
        <v>6892</v>
      </c>
    </row>
    <row r="977" spans="1:17" x14ac:dyDescent="0.25">
      <c r="A977" t="s">
        <v>1484</v>
      </c>
      <c r="B977" t="s">
        <v>1485</v>
      </c>
      <c r="C977" s="1">
        <v>41275</v>
      </c>
      <c r="D977" s="1">
        <v>41639</v>
      </c>
      <c r="E977" t="s">
        <v>1486</v>
      </c>
      <c r="G977" t="s">
        <v>364</v>
      </c>
      <c r="H977" t="s">
        <v>21</v>
      </c>
      <c r="I977" t="str">
        <f>"47713"</f>
        <v>47713</v>
      </c>
      <c r="J977" t="s">
        <v>63</v>
      </c>
      <c r="K977" t="s">
        <v>64</v>
      </c>
      <c r="L977" s="2">
        <v>5754276</v>
      </c>
      <c r="M977" s="2">
        <v>869771</v>
      </c>
      <c r="N977" s="2">
        <v>3405303</v>
      </c>
      <c r="O977" s="2">
        <v>695561</v>
      </c>
      <c r="P977" s="2">
        <v>180055</v>
      </c>
      <c r="Q977" s="2">
        <v>52853</v>
      </c>
    </row>
    <row r="978" spans="1:17" x14ac:dyDescent="0.25">
      <c r="A978" t="s">
        <v>436</v>
      </c>
      <c r="B978" t="s">
        <v>437</v>
      </c>
      <c r="C978" s="1">
        <v>41275</v>
      </c>
      <c r="D978" s="1">
        <v>41639</v>
      </c>
      <c r="E978" t="s">
        <v>438</v>
      </c>
      <c r="G978" t="s">
        <v>167</v>
      </c>
      <c r="H978" t="s">
        <v>62</v>
      </c>
      <c r="I978" t="str">
        <f>"45202"</f>
        <v>45202</v>
      </c>
      <c r="J978" t="s">
        <v>22</v>
      </c>
      <c r="K978" t="s">
        <v>30</v>
      </c>
      <c r="L978" s="2">
        <v>5753188</v>
      </c>
      <c r="M978" s="2">
        <v>3086575</v>
      </c>
      <c r="N978" s="2">
        <v>0</v>
      </c>
      <c r="O978" s="2">
        <v>33733</v>
      </c>
      <c r="P978" t="s">
        <v>24</v>
      </c>
      <c r="Q978" t="s">
        <v>24</v>
      </c>
    </row>
    <row r="979" spans="1:17" x14ac:dyDescent="0.25">
      <c r="A979" t="s">
        <v>161</v>
      </c>
      <c r="B979" t="s">
        <v>162</v>
      </c>
      <c r="C979" s="1">
        <v>41395</v>
      </c>
      <c r="D979" s="1">
        <v>41759</v>
      </c>
      <c r="E979" t="s">
        <v>163</v>
      </c>
      <c r="G979" t="s">
        <v>28</v>
      </c>
      <c r="H979" t="s">
        <v>29</v>
      </c>
      <c r="I979" t="str">
        <f>"60603"</f>
        <v>60603</v>
      </c>
      <c r="J979" t="s">
        <v>22</v>
      </c>
      <c r="K979" t="s">
        <v>30</v>
      </c>
      <c r="L979" s="2">
        <v>5748983</v>
      </c>
      <c r="M979" s="2">
        <v>2836394</v>
      </c>
      <c r="N979" s="2">
        <v>0</v>
      </c>
      <c r="O979" s="2">
        <v>301857</v>
      </c>
      <c r="P979" t="s">
        <v>24</v>
      </c>
      <c r="Q979" t="s">
        <v>24</v>
      </c>
    </row>
    <row r="980" spans="1:17" x14ac:dyDescent="0.25">
      <c r="A980" t="s">
        <v>6908</v>
      </c>
      <c r="B980" t="s">
        <v>6909</v>
      </c>
      <c r="C980" s="1">
        <v>41000</v>
      </c>
      <c r="D980" s="1">
        <v>41364</v>
      </c>
      <c r="E980" t="s">
        <v>6910</v>
      </c>
      <c r="G980" t="s">
        <v>139</v>
      </c>
      <c r="H980" t="s">
        <v>47</v>
      </c>
      <c r="I980" t="str">
        <f>"49503"</f>
        <v>49503</v>
      </c>
      <c r="J980" t="s">
        <v>63</v>
      </c>
      <c r="K980" t="s">
        <v>79</v>
      </c>
      <c r="L980" s="2">
        <v>5727212</v>
      </c>
      <c r="M980" s="2">
        <v>3617954</v>
      </c>
      <c r="N980" s="2">
        <v>6847544</v>
      </c>
      <c r="O980" s="2">
        <v>11687078</v>
      </c>
      <c r="P980" s="2">
        <v>289072</v>
      </c>
      <c r="Q980" s="2">
        <v>68565</v>
      </c>
    </row>
    <row r="981" spans="1:17" x14ac:dyDescent="0.25">
      <c r="A981" t="s">
        <v>6564</v>
      </c>
      <c r="B981" t="s">
        <v>6565</v>
      </c>
      <c r="C981" s="1">
        <v>41275</v>
      </c>
      <c r="D981" s="1">
        <v>41639</v>
      </c>
      <c r="E981" t="s">
        <v>6566</v>
      </c>
      <c r="G981" t="s">
        <v>28</v>
      </c>
      <c r="H981" t="s">
        <v>29</v>
      </c>
      <c r="I981" t="str">
        <f>"60602"</f>
        <v>60602</v>
      </c>
      <c r="J981" t="s">
        <v>22</v>
      </c>
      <c r="K981" t="s">
        <v>30</v>
      </c>
      <c r="L981" s="2">
        <v>5723794</v>
      </c>
      <c r="M981" s="2">
        <v>7023096</v>
      </c>
      <c r="N981" s="2">
        <v>0</v>
      </c>
      <c r="O981" s="2">
        <v>394729</v>
      </c>
      <c r="P981" t="s">
        <v>24</v>
      </c>
      <c r="Q981" t="s">
        <v>24</v>
      </c>
    </row>
    <row r="982" spans="1:17" x14ac:dyDescent="0.25">
      <c r="A982" t="s">
        <v>6257</v>
      </c>
      <c r="B982" t="s">
        <v>6258</v>
      </c>
      <c r="C982" s="1">
        <v>39630</v>
      </c>
      <c r="D982" s="1">
        <v>39994</v>
      </c>
      <c r="E982" t="s">
        <v>6259</v>
      </c>
      <c r="G982" t="s">
        <v>337</v>
      </c>
      <c r="H982" t="s">
        <v>62</v>
      </c>
      <c r="I982" t="str">
        <f>"44101"</f>
        <v>44101</v>
      </c>
      <c r="J982" t="s">
        <v>22</v>
      </c>
      <c r="K982" t="s">
        <v>23</v>
      </c>
      <c r="L982" s="2">
        <v>5716852</v>
      </c>
      <c r="M982" s="2">
        <v>28752842</v>
      </c>
      <c r="N982" s="2">
        <v>0</v>
      </c>
      <c r="O982" s="2">
        <v>18854330</v>
      </c>
      <c r="P982" t="s">
        <v>24</v>
      </c>
      <c r="Q982" t="s">
        <v>24</v>
      </c>
    </row>
    <row r="983" spans="1:17" x14ac:dyDescent="0.25">
      <c r="A983" t="s">
        <v>1693</v>
      </c>
      <c r="B983" t="s">
        <v>1694</v>
      </c>
      <c r="C983" s="1">
        <v>41395</v>
      </c>
      <c r="D983" s="1">
        <v>41759</v>
      </c>
      <c r="E983" t="s">
        <v>1695</v>
      </c>
      <c r="G983" t="s">
        <v>28</v>
      </c>
      <c r="H983" t="s">
        <v>29</v>
      </c>
      <c r="I983" t="str">
        <f>"60697"</f>
        <v>60697</v>
      </c>
      <c r="J983" t="s">
        <v>22</v>
      </c>
      <c r="K983" t="s">
        <v>30</v>
      </c>
      <c r="L983" s="2">
        <v>5694352</v>
      </c>
      <c r="M983" s="2">
        <v>1760485</v>
      </c>
      <c r="N983" s="2">
        <v>0</v>
      </c>
      <c r="O983" s="2">
        <v>288965</v>
      </c>
      <c r="P983" t="s">
        <v>24</v>
      </c>
      <c r="Q983" t="s">
        <v>24</v>
      </c>
    </row>
    <row r="984" spans="1:17" x14ac:dyDescent="0.25">
      <c r="A984" t="s">
        <v>2292</v>
      </c>
      <c r="B984" t="s">
        <v>2293</v>
      </c>
      <c r="C984" s="1">
        <v>41275</v>
      </c>
      <c r="D984" s="1">
        <v>41639</v>
      </c>
      <c r="E984" t="s">
        <v>2294</v>
      </c>
      <c r="G984" t="s">
        <v>147</v>
      </c>
      <c r="H984" t="s">
        <v>62</v>
      </c>
      <c r="I984" t="str">
        <f>"44308"</f>
        <v>44308</v>
      </c>
      <c r="J984" t="s">
        <v>22</v>
      </c>
      <c r="K984" t="s">
        <v>30</v>
      </c>
      <c r="L984" s="2">
        <v>5676038</v>
      </c>
      <c r="M984" s="2">
        <v>2361851</v>
      </c>
      <c r="N984" s="2">
        <v>0</v>
      </c>
      <c r="O984" s="2">
        <v>301054</v>
      </c>
      <c r="P984" t="s">
        <v>24</v>
      </c>
      <c r="Q984" t="s">
        <v>24</v>
      </c>
    </row>
    <row r="985" spans="1:17" x14ac:dyDescent="0.25">
      <c r="A985" t="s">
        <v>6404</v>
      </c>
      <c r="B985" t="s">
        <v>6405</v>
      </c>
      <c r="C985" s="1">
        <v>41275</v>
      </c>
      <c r="D985" s="1">
        <v>41639</v>
      </c>
      <c r="E985" t="s">
        <v>6406</v>
      </c>
      <c r="G985" t="s">
        <v>6407</v>
      </c>
      <c r="H985" t="s">
        <v>47</v>
      </c>
      <c r="I985" t="str">
        <f>"49456"</f>
        <v>49456</v>
      </c>
      <c r="J985" t="s">
        <v>22</v>
      </c>
      <c r="K985" t="s">
        <v>30</v>
      </c>
      <c r="L985" s="2">
        <v>5674291</v>
      </c>
      <c r="M985" s="2">
        <v>2045330</v>
      </c>
      <c r="N985" s="2">
        <v>16890</v>
      </c>
      <c r="O985" s="2">
        <v>392451</v>
      </c>
      <c r="P985" t="s">
        <v>24</v>
      </c>
      <c r="Q985" t="s">
        <v>24</v>
      </c>
    </row>
    <row r="986" spans="1:17" x14ac:dyDescent="0.25">
      <c r="A986" t="s">
        <v>4643</v>
      </c>
      <c r="B986" t="s">
        <v>4644</v>
      </c>
      <c r="C986" s="1">
        <v>41091</v>
      </c>
      <c r="D986" s="1">
        <v>41455</v>
      </c>
      <c r="E986" t="s">
        <v>4645</v>
      </c>
      <c r="F986" t="s">
        <v>4646</v>
      </c>
      <c r="G986" t="s">
        <v>4647</v>
      </c>
      <c r="H986" t="s">
        <v>42</v>
      </c>
      <c r="I986" t="str">
        <f>"54449"</f>
        <v>54449</v>
      </c>
      <c r="J986" t="s">
        <v>63</v>
      </c>
      <c r="K986" t="s">
        <v>64</v>
      </c>
      <c r="L986" s="2">
        <v>5639442</v>
      </c>
      <c r="M986" s="2">
        <v>661798</v>
      </c>
      <c r="N986" s="2">
        <v>223391</v>
      </c>
      <c r="O986" s="2">
        <v>287600</v>
      </c>
      <c r="P986" s="2">
        <v>103103</v>
      </c>
      <c r="Q986" s="2">
        <v>1290</v>
      </c>
    </row>
    <row r="987" spans="1:17" x14ac:dyDescent="0.25">
      <c r="A987" t="s">
        <v>7346</v>
      </c>
      <c r="B987" t="s">
        <v>7347</v>
      </c>
      <c r="C987" s="1">
        <v>41275</v>
      </c>
      <c r="D987" s="1">
        <v>41639</v>
      </c>
      <c r="E987" t="s">
        <v>5991</v>
      </c>
      <c r="G987" t="s">
        <v>5992</v>
      </c>
      <c r="H987" t="s">
        <v>42</v>
      </c>
      <c r="I987" t="str">
        <f>"54612"</f>
        <v>54612</v>
      </c>
      <c r="J987" t="s">
        <v>22</v>
      </c>
      <c r="K987" t="s">
        <v>30</v>
      </c>
      <c r="L987" s="2">
        <v>5636174</v>
      </c>
      <c r="M987" s="2">
        <v>8398219</v>
      </c>
      <c r="N987" s="2">
        <v>12726</v>
      </c>
      <c r="O987" s="2">
        <v>2888719</v>
      </c>
      <c r="P987" t="s">
        <v>24</v>
      </c>
      <c r="Q987" t="s">
        <v>24</v>
      </c>
    </row>
    <row r="988" spans="1:17" x14ac:dyDescent="0.25">
      <c r="A988" t="s">
        <v>912</v>
      </c>
      <c r="B988" t="s">
        <v>913</v>
      </c>
      <c r="C988" s="1">
        <v>41275</v>
      </c>
      <c r="D988" s="1">
        <v>41639</v>
      </c>
      <c r="E988" t="s">
        <v>914</v>
      </c>
      <c r="G988" t="s">
        <v>28</v>
      </c>
      <c r="H988" t="s">
        <v>29</v>
      </c>
      <c r="I988" t="str">
        <f>"60610"</f>
        <v>60610</v>
      </c>
      <c r="J988" t="s">
        <v>22</v>
      </c>
      <c r="K988" t="s">
        <v>91</v>
      </c>
      <c r="L988" s="2">
        <v>5627390</v>
      </c>
      <c r="M988" s="2">
        <v>1880819</v>
      </c>
      <c r="N988" s="2">
        <v>0</v>
      </c>
      <c r="O988" s="2">
        <v>248089</v>
      </c>
      <c r="P988" t="s">
        <v>24</v>
      </c>
      <c r="Q988" t="s">
        <v>24</v>
      </c>
    </row>
    <row r="989" spans="1:17" x14ac:dyDescent="0.25">
      <c r="A989" t="s">
        <v>3548</v>
      </c>
      <c r="B989" t="s">
        <v>3549</v>
      </c>
      <c r="C989" s="1">
        <v>41275</v>
      </c>
      <c r="D989" s="1">
        <v>41639</v>
      </c>
      <c r="E989" t="s">
        <v>3550</v>
      </c>
      <c r="G989" t="s">
        <v>1042</v>
      </c>
      <c r="H989" t="s">
        <v>47</v>
      </c>
      <c r="I989" t="str">
        <f>"48304"</f>
        <v>48304</v>
      </c>
      <c r="J989" t="s">
        <v>22</v>
      </c>
      <c r="K989" t="s">
        <v>30</v>
      </c>
      <c r="L989" s="2">
        <v>5624717</v>
      </c>
      <c r="M989" s="2">
        <v>92823</v>
      </c>
      <c r="N989" s="2">
        <v>0</v>
      </c>
      <c r="O989" s="2">
        <v>331264</v>
      </c>
      <c r="P989" t="s">
        <v>24</v>
      </c>
      <c r="Q989" t="s">
        <v>24</v>
      </c>
    </row>
    <row r="990" spans="1:17" x14ac:dyDescent="0.25">
      <c r="A990" t="s">
        <v>1999</v>
      </c>
      <c r="B990" t="s">
        <v>2000</v>
      </c>
      <c r="C990" s="1">
        <v>41275</v>
      </c>
      <c r="D990" s="1">
        <v>41639</v>
      </c>
      <c r="E990" t="s">
        <v>2001</v>
      </c>
      <c r="G990" t="s">
        <v>337</v>
      </c>
      <c r="H990" t="s">
        <v>62</v>
      </c>
      <c r="I990" t="str">
        <f>"44114"</f>
        <v>44114</v>
      </c>
      <c r="J990" t="s">
        <v>22</v>
      </c>
      <c r="K990" t="s">
        <v>23</v>
      </c>
      <c r="L990" s="2">
        <v>5613260</v>
      </c>
      <c r="M990" s="2">
        <v>3395620</v>
      </c>
      <c r="N990" s="2">
        <v>0</v>
      </c>
      <c r="O990" s="2">
        <v>249161</v>
      </c>
      <c r="P990" t="s">
        <v>24</v>
      </c>
      <c r="Q990" t="s">
        <v>24</v>
      </c>
    </row>
    <row r="991" spans="1:17" x14ac:dyDescent="0.25">
      <c r="A991" t="s">
        <v>6846</v>
      </c>
      <c r="B991" t="s">
        <v>6847</v>
      </c>
      <c r="C991" s="1">
        <v>41061</v>
      </c>
      <c r="D991" s="1">
        <v>41425</v>
      </c>
      <c r="E991" t="s">
        <v>2905</v>
      </c>
      <c r="G991" t="s">
        <v>432</v>
      </c>
      <c r="H991" t="s">
        <v>47</v>
      </c>
      <c r="I991" t="str">
        <f>"49422"</f>
        <v>49422</v>
      </c>
      <c r="J991" t="s">
        <v>22</v>
      </c>
      <c r="K991" t="s">
        <v>23</v>
      </c>
      <c r="L991" s="2">
        <v>5611624</v>
      </c>
      <c r="M991" s="2">
        <v>2024462</v>
      </c>
      <c r="N991" s="2">
        <v>0</v>
      </c>
      <c r="O991" s="2">
        <v>312614</v>
      </c>
      <c r="P991" t="s">
        <v>24</v>
      </c>
      <c r="Q991" t="s">
        <v>24</v>
      </c>
    </row>
    <row r="992" spans="1:17" x14ac:dyDescent="0.25">
      <c r="A992" t="s">
        <v>5923</v>
      </c>
      <c r="B992" t="s">
        <v>5924</v>
      </c>
      <c r="C992" s="1">
        <v>41395</v>
      </c>
      <c r="D992" s="1">
        <v>41759</v>
      </c>
      <c r="E992" t="s">
        <v>5925</v>
      </c>
      <c r="G992" t="s">
        <v>147</v>
      </c>
      <c r="H992" t="s">
        <v>62</v>
      </c>
      <c r="I992" t="str">
        <f>"44308"</f>
        <v>44308</v>
      </c>
      <c r="J992" t="s">
        <v>22</v>
      </c>
      <c r="K992" t="s">
        <v>30</v>
      </c>
      <c r="L992" s="2">
        <v>5610477</v>
      </c>
      <c r="M992" s="2">
        <v>530112</v>
      </c>
      <c r="N992" s="2">
        <v>0</v>
      </c>
      <c r="O992" s="2">
        <v>328689</v>
      </c>
      <c r="P992" t="s">
        <v>24</v>
      </c>
      <c r="Q992" t="s">
        <v>24</v>
      </c>
    </row>
    <row r="993" spans="1:17" x14ac:dyDescent="0.25">
      <c r="A993" t="s">
        <v>2981</v>
      </c>
      <c r="B993" t="s">
        <v>2982</v>
      </c>
      <c r="C993" s="1">
        <v>41275</v>
      </c>
      <c r="D993" s="1">
        <v>41639</v>
      </c>
      <c r="E993" t="s">
        <v>2983</v>
      </c>
      <c r="G993" t="s">
        <v>28</v>
      </c>
      <c r="H993" t="s">
        <v>29</v>
      </c>
      <c r="I993" t="str">
        <f>"60603"</f>
        <v>60603</v>
      </c>
      <c r="J993" t="s">
        <v>22</v>
      </c>
      <c r="K993" t="s">
        <v>30</v>
      </c>
      <c r="L993" s="2">
        <v>5608431</v>
      </c>
      <c r="M993" s="2">
        <v>6437870</v>
      </c>
      <c r="N993" s="2">
        <v>8737</v>
      </c>
      <c r="O993" s="2">
        <v>262472</v>
      </c>
      <c r="P993" t="s">
        <v>24</v>
      </c>
      <c r="Q993" t="s">
        <v>24</v>
      </c>
    </row>
    <row r="994" spans="1:17" x14ac:dyDescent="0.25">
      <c r="A994" t="s">
        <v>7556</v>
      </c>
      <c r="B994" t="s">
        <v>7557</v>
      </c>
      <c r="C994" s="1">
        <v>41365</v>
      </c>
      <c r="D994" s="1">
        <v>41729</v>
      </c>
      <c r="E994" t="s">
        <v>7558</v>
      </c>
      <c r="G994" t="s">
        <v>28</v>
      </c>
      <c r="H994" t="s">
        <v>29</v>
      </c>
      <c r="I994" t="str">
        <f>"60603"</f>
        <v>60603</v>
      </c>
      <c r="J994" t="s">
        <v>22</v>
      </c>
      <c r="K994" t="s">
        <v>23</v>
      </c>
      <c r="L994" s="2">
        <v>5605159</v>
      </c>
      <c r="M994" s="2">
        <v>7585419</v>
      </c>
      <c r="N994" s="2">
        <v>0</v>
      </c>
      <c r="O994" s="2">
        <v>447075</v>
      </c>
      <c r="P994" t="s">
        <v>24</v>
      </c>
      <c r="Q994" t="s">
        <v>24</v>
      </c>
    </row>
    <row r="995" spans="1:17" x14ac:dyDescent="0.25">
      <c r="A995" t="s">
        <v>3683</v>
      </c>
      <c r="B995" t="s">
        <v>3684</v>
      </c>
      <c r="C995" s="1">
        <v>41275</v>
      </c>
      <c r="D995" s="1">
        <v>41639</v>
      </c>
      <c r="E995" t="s">
        <v>3685</v>
      </c>
      <c r="G995" t="s">
        <v>1200</v>
      </c>
      <c r="H995" t="s">
        <v>42</v>
      </c>
      <c r="I995" t="str">
        <f>"53403"</f>
        <v>53403</v>
      </c>
      <c r="J995" t="s">
        <v>22</v>
      </c>
      <c r="K995" t="s">
        <v>30</v>
      </c>
      <c r="L995" s="2">
        <v>5603185</v>
      </c>
      <c r="M995" s="2">
        <v>1310288</v>
      </c>
      <c r="N995" s="2">
        <v>0</v>
      </c>
      <c r="O995" s="2">
        <v>6230</v>
      </c>
      <c r="P995" t="s">
        <v>24</v>
      </c>
      <c r="Q995" t="s">
        <v>24</v>
      </c>
    </row>
    <row r="996" spans="1:17" x14ac:dyDescent="0.25">
      <c r="A996" t="s">
        <v>1505</v>
      </c>
      <c r="B996" t="s">
        <v>1506</v>
      </c>
      <c r="C996" s="1">
        <v>41456</v>
      </c>
      <c r="D996" s="1">
        <v>41820</v>
      </c>
      <c r="E996" t="s">
        <v>1507</v>
      </c>
      <c r="G996" t="s">
        <v>1508</v>
      </c>
      <c r="H996" t="s">
        <v>42</v>
      </c>
      <c r="I996" t="str">
        <f>"53072"</f>
        <v>53072</v>
      </c>
      <c r="J996" t="s">
        <v>63</v>
      </c>
      <c r="K996" t="s">
        <v>23</v>
      </c>
      <c r="L996" s="2">
        <v>5602051</v>
      </c>
      <c r="M996" s="2">
        <v>1678246</v>
      </c>
      <c r="N996" s="2">
        <v>83207</v>
      </c>
      <c r="O996" s="2">
        <v>1777494</v>
      </c>
      <c r="P996" s="2">
        <v>589684</v>
      </c>
      <c r="Q996" s="2">
        <v>54228</v>
      </c>
    </row>
    <row r="997" spans="1:17" x14ac:dyDescent="0.25">
      <c r="A997" t="s">
        <v>5560</v>
      </c>
      <c r="B997" t="s">
        <v>5561</v>
      </c>
      <c r="C997" s="1">
        <v>41275</v>
      </c>
      <c r="D997" s="1">
        <v>41639</v>
      </c>
      <c r="E997" t="s">
        <v>5562</v>
      </c>
      <c r="G997" t="s">
        <v>167</v>
      </c>
      <c r="H997" t="s">
        <v>62</v>
      </c>
      <c r="I997" t="str">
        <f>"45247"</f>
        <v>45247</v>
      </c>
      <c r="J997" t="s">
        <v>22</v>
      </c>
      <c r="K997" t="s">
        <v>30</v>
      </c>
      <c r="L997" s="2">
        <v>5600760</v>
      </c>
      <c r="M997" s="2">
        <v>1356165</v>
      </c>
      <c r="N997" s="2">
        <v>0</v>
      </c>
      <c r="O997" s="2">
        <v>52957</v>
      </c>
      <c r="P997" t="s">
        <v>24</v>
      </c>
      <c r="Q997" t="s">
        <v>24</v>
      </c>
    </row>
    <row r="998" spans="1:17" x14ac:dyDescent="0.25">
      <c r="A998" t="s">
        <v>6644</v>
      </c>
      <c r="B998" t="s">
        <v>6645</v>
      </c>
      <c r="C998" s="1">
        <v>41275</v>
      </c>
      <c r="D998" s="1">
        <v>41639</v>
      </c>
      <c r="E998" t="s">
        <v>6646</v>
      </c>
      <c r="G998" t="s">
        <v>724</v>
      </c>
      <c r="H998" t="s">
        <v>47</v>
      </c>
      <c r="I998" t="str">
        <f>"49301"</f>
        <v>49301</v>
      </c>
      <c r="J998" t="s">
        <v>22</v>
      </c>
      <c r="K998" t="s">
        <v>23</v>
      </c>
      <c r="L998" s="2">
        <v>5577756</v>
      </c>
      <c r="M998" s="2">
        <v>7568781</v>
      </c>
      <c r="N998" s="2">
        <v>0</v>
      </c>
      <c r="O998" s="2">
        <v>289258</v>
      </c>
      <c r="P998" t="s">
        <v>24</v>
      </c>
      <c r="Q998" t="s">
        <v>24</v>
      </c>
    </row>
    <row r="999" spans="1:17" x14ac:dyDescent="0.25">
      <c r="A999" t="s">
        <v>5538</v>
      </c>
      <c r="B999" t="s">
        <v>5539</v>
      </c>
      <c r="C999" s="1">
        <v>41275</v>
      </c>
      <c r="D999" s="1">
        <v>41639</v>
      </c>
      <c r="E999" t="s">
        <v>5540</v>
      </c>
      <c r="G999" t="s">
        <v>357</v>
      </c>
      <c r="H999" t="s">
        <v>21</v>
      </c>
      <c r="I999" t="str">
        <f>"46814"</f>
        <v>46814</v>
      </c>
      <c r="J999" t="s">
        <v>22</v>
      </c>
      <c r="K999" t="s">
        <v>30</v>
      </c>
      <c r="L999" s="2">
        <v>5575803</v>
      </c>
      <c r="M999" s="2">
        <v>1190594</v>
      </c>
      <c r="N999" s="2">
        <v>0</v>
      </c>
      <c r="O999" s="2">
        <v>234349</v>
      </c>
      <c r="P999" t="s">
        <v>24</v>
      </c>
      <c r="Q999" t="s">
        <v>24</v>
      </c>
    </row>
    <row r="1000" spans="1:17" x14ac:dyDescent="0.25">
      <c r="A1000" t="s">
        <v>2662</v>
      </c>
      <c r="B1000" t="s">
        <v>2663</v>
      </c>
      <c r="C1000" s="1">
        <v>41275</v>
      </c>
      <c r="D1000" s="1">
        <v>41639</v>
      </c>
      <c r="E1000" t="s">
        <v>2645</v>
      </c>
      <c r="G1000" t="s">
        <v>28</v>
      </c>
      <c r="H1000" t="s">
        <v>29</v>
      </c>
      <c r="I1000" t="str">
        <f>"60605"</f>
        <v>60605</v>
      </c>
      <c r="J1000" t="s">
        <v>22</v>
      </c>
      <c r="K1000" t="s">
        <v>30</v>
      </c>
      <c r="L1000" s="2">
        <v>5547225</v>
      </c>
      <c r="M1000" s="2">
        <v>8217712</v>
      </c>
      <c r="N1000" s="2">
        <v>0</v>
      </c>
      <c r="O1000" s="2">
        <v>169094</v>
      </c>
      <c r="P1000" t="s">
        <v>24</v>
      </c>
      <c r="Q1000" t="s">
        <v>24</v>
      </c>
    </row>
    <row r="1001" spans="1:17" x14ac:dyDescent="0.25">
      <c r="A1001" t="s">
        <v>6580</v>
      </c>
      <c r="B1001" t="s">
        <v>6581</v>
      </c>
      <c r="C1001" s="1">
        <v>41275</v>
      </c>
      <c r="D1001" s="1">
        <v>41639</v>
      </c>
      <c r="E1001" t="s">
        <v>6582</v>
      </c>
      <c r="G1001" t="s">
        <v>246</v>
      </c>
      <c r="H1001" t="s">
        <v>29</v>
      </c>
      <c r="I1001" t="str">
        <f>"60540"</f>
        <v>60540</v>
      </c>
      <c r="J1001" t="s">
        <v>22</v>
      </c>
      <c r="K1001" t="s">
        <v>23</v>
      </c>
      <c r="L1001" s="2">
        <v>5546514</v>
      </c>
      <c r="M1001" s="2">
        <v>1262491</v>
      </c>
      <c r="N1001" s="2">
        <v>0</v>
      </c>
      <c r="O1001" s="2">
        <v>541291</v>
      </c>
      <c r="P1001" t="s">
        <v>24</v>
      </c>
      <c r="Q1001" t="s">
        <v>24</v>
      </c>
    </row>
    <row r="1002" spans="1:17" x14ac:dyDescent="0.25">
      <c r="A1002" t="s">
        <v>2448</v>
      </c>
      <c r="B1002" t="s">
        <v>2449</v>
      </c>
      <c r="C1002" s="1">
        <v>41275</v>
      </c>
      <c r="D1002" s="1">
        <v>41639</v>
      </c>
      <c r="E1002" t="s">
        <v>2450</v>
      </c>
      <c r="G1002" t="s">
        <v>833</v>
      </c>
      <c r="H1002" t="s">
        <v>29</v>
      </c>
      <c r="I1002" t="str">
        <f>"61704"</f>
        <v>61704</v>
      </c>
      <c r="J1002" t="s">
        <v>22</v>
      </c>
      <c r="K1002" t="s">
        <v>23</v>
      </c>
      <c r="L1002" s="2">
        <v>5531138</v>
      </c>
      <c r="M1002" s="2">
        <v>1130476</v>
      </c>
      <c r="N1002" s="2">
        <v>0</v>
      </c>
      <c r="O1002" s="2">
        <v>279994</v>
      </c>
      <c r="P1002" t="s">
        <v>24</v>
      </c>
      <c r="Q1002" t="s">
        <v>24</v>
      </c>
    </row>
    <row r="1003" spans="1:17" x14ac:dyDescent="0.25">
      <c r="A1003" t="s">
        <v>2494</v>
      </c>
      <c r="B1003" t="s">
        <v>2495</v>
      </c>
      <c r="C1003" s="1">
        <v>41275</v>
      </c>
      <c r="D1003" s="1">
        <v>41639</v>
      </c>
      <c r="E1003" t="s">
        <v>2496</v>
      </c>
      <c r="G1003" t="s">
        <v>1965</v>
      </c>
      <c r="H1003" t="s">
        <v>47</v>
      </c>
      <c r="I1003" t="str">
        <f>"48170"</f>
        <v>48170</v>
      </c>
      <c r="J1003" t="s">
        <v>22</v>
      </c>
      <c r="K1003" t="s">
        <v>30</v>
      </c>
      <c r="L1003" s="2">
        <v>5525015</v>
      </c>
      <c r="M1003" s="2">
        <v>2040899</v>
      </c>
      <c r="N1003" s="2">
        <v>0</v>
      </c>
      <c r="O1003" s="2">
        <v>452123</v>
      </c>
      <c r="P1003" t="s">
        <v>24</v>
      </c>
      <c r="Q1003" t="s">
        <v>24</v>
      </c>
    </row>
    <row r="1004" spans="1:17" x14ac:dyDescent="0.25">
      <c r="A1004" t="s">
        <v>4313</v>
      </c>
      <c r="B1004" t="s">
        <v>4314</v>
      </c>
      <c r="C1004" s="1">
        <v>41275</v>
      </c>
      <c r="D1004" s="1">
        <v>41639</v>
      </c>
      <c r="E1004" t="s">
        <v>4315</v>
      </c>
      <c r="G1004" t="s">
        <v>147</v>
      </c>
      <c r="H1004" t="s">
        <v>62</v>
      </c>
      <c r="I1004" t="str">
        <f>"44303"</f>
        <v>44303</v>
      </c>
      <c r="J1004" t="s">
        <v>22</v>
      </c>
      <c r="K1004" t="s">
        <v>23</v>
      </c>
      <c r="L1004" s="2">
        <v>5522550</v>
      </c>
      <c r="M1004" s="2">
        <v>2200540</v>
      </c>
      <c r="N1004" s="2">
        <v>0</v>
      </c>
      <c r="O1004" s="2">
        <v>177990</v>
      </c>
      <c r="P1004" t="s">
        <v>24</v>
      </c>
      <c r="Q1004" t="s">
        <v>24</v>
      </c>
    </row>
    <row r="1005" spans="1:17" x14ac:dyDescent="0.25">
      <c r="A1005" t="s">
        <v>2303</v>
      </c>
      <c r="B1005" t="s">
        <v>2304</v>
      </c>
      <c r="C1005" s="1">
        <v>41275</v>
      </c>
      <c r="D1005" s="1">
        <v>41639</v>
      </c>
      <c r="E1005" t="s">
        <v>2305</v>
      </c>
      <c r="G1005" t="s">
        <v>2306</v>
      </c>
      <c r="H1005" t="s">
        <v>42</v>
      </c>
      <c r="I1005" t="str">
        <f>"54738"</f>
        <v>54738</v>
      </c>
      <c r="J1005" t="s">
        <v>22</v>
      </c>
      <c r="K1005" t="s">
        <v>30</v>
      </c>
      <c r="L1005" s="2">
        <v>5518691</v>
      </c>
      <c r="M1005" s="2">
        <v>6706903</v>
      </c>
      <c r="N1005" s="2">
        <v>0</v>
      </c>
      <c r="O1005" s="2">
        <v>46876</v>
      </c>
      <c r="P1005" t="s">
        <v>24</v>
      </c>
      <c r="Q1005" t="s">
        <v>24</v>
      </c>
    </row>
    <row r="1006" spans="1:17" x14ac:dyDescent="0.25">
      <c r="A1006" t="s">
        <v>2680</v>
      </c>
      <c r="B1006" t="s">
        <v>2681</v>
      </c>
      <c r="C1006" s="1">
        <v>41618</v>
      </c>
      <c r="D1006" s="1">
        <v>41639</v>
      </c>
      <c r="E1006" t="s">
        <v>2682</v>
      </c>
      <c r="G1006" t="s">
        <v>28</v>
      </c>
      <c r="H1006" t="s">
        <v>29</v>
      </c>
      <c r="I1006" t="str">
        <f>"60611"</f>
        <v>60611</v>
      </c>
      <c r="J1006" t="s">
        <v>22</v>
      </c>
      <c r="K1006" t="s">
        <v>23</v>
      </c>
      <c r="L1006" s="2">
        <v>5515554</v>
      </c>
      <c r="M1006" s="2">
        <v>5515554</v>
      </c>
      <c r="N1006" s="2">
        <v>0</v>
      </c>
      <c r="O1006" s="2">
        <v>0</v>
      </c>
      <c r="P1006" t="s">
        <v>24</v>
      </c>
      <c r="Q1006" t="s">
        <v>24</v>
      </c>
    </row>
    <row r="1007" spans="1:17" x14ac:dyDescent="0.25">
      <c r="A1007" t="s">
        <v>6630</v>
      </c>
      <c r="B1007" t="s">
        <v>6631</v>
      </c>
      <c r="E1007" t="s">
        <v>142</v>
      </c>
      <c r="G1007" t="s">
        <v>143</v>
      </c>
      <c r="H1007" t="s">
        <v>47</v>
      </c>
      <c r="I1007" t="str">
        <f>"48275"</f>
        <v>48275</v>
      </c>
      <c r="J1007" t="s">
        <v>22</v>
      </c>
      <c r="K1007" t="s">
        <v>23</v>
      </c>
      <c r="L1007" s="2">
        <v>5513506</v>
      </c>
      <c r="M1007" s="2">
        <v>1268760</v>
      </c>
      <c r="N1007" s="2">
        <v>0</v>
      </c>
      <c r="O1007" t="s">
        <v>24</v>
      </c>
      <c r="P1007" t="s">
        <v>24</v>
      </c>
      <c r="Q1007" t="s">
        <v>24</v>
      </c>
    </row>
    <row r="1008" spans="1:17" x14ac:dyDescent="0.25">
      <c r="A1008" t="s">
        <v>7137</v>
      </c>
      <c r="B1008" t="s">
        <v>7138</v>
      </c>
      <c r="C1008" s="1">
        <v>41275</v>
      </c>
      <c r="D1008" s="1">
        <v>41639</v>
      </c>
      <c r="E1008" t="s">
        <v>7139</v>
      </c>
      <c r="G1008" t="s">
        <v>1525</v>
      </c>
      <c r="H1008" t="s">
        <v>62</v>
      </c>
      <c r="I1008" t="str">
        <f>"44047"</f>
        <v>44047</v>
      </c>
      <c r="J1008" t="s">
        <v>22</v>
      </c>
      <c r="K1008" t="s">
        <v>23</v>
      </c>
      <c r="L1008" s="2">
        <v>5512758</v>
      </c>
      <c r="M1008" s="2">
        <v>2370564</v>
      </c>
      <c r="N1008" s="2">
        <v>0</v>
      </c>
      <c r="O1008" s="2">
        <v>1247449</v>
      </c>
      <c r="P1008" t="s">
        <v>24</v>
      </c>
      <c r="Q1008" t="s">
        <v>24</v>
      </c>
    </row>
    <row r="1009" spans="1:17" x14ac:dyDescent="0.25">
      <c r="A1009" t="s">
        <v>4383</v>
      </c>
      <c r="B1009" t="s">
        <v>4384</v>
      </c>
      <c r="C1009" s="1">
        <v>40909</v>
      </c>
      <c r="D1009" s="1">
        <v>41274</v>
      </c>
      <c r="E1009" t="s">
        <v>4385</v>
      </c>
      <c r="G1009" t="s">
        <v>1111</v>
      </c>
      <c r="H1009" t="s">
        <v>47</v>
      </c>
      <c r="I1009" t="str">
        <f>"48301"</f>
        <v>48301</v>
      </c>
      <c r="J1009" t="s">
        <v>22</v>
      </c>
      <c r="K1009" t="s">
        <v>30</v>
      </c>
      <c r="L1009" s="2">
        <v>5476583</v>
      </c>
      <c r="M1009" s="2">
        <v>509422</v>
      </c>
      <c r="N1009" s="2">
        <v>0</v>
      </c>
      <c r="O1009" s="2">
        <v>287583</v>
      </c>
      <c r="P1009" t="s">
        <v>24</v>
      </c>
      <c r="Q1009" t="s">
        <v>24</v>
      </c>
    </row>
    <row r="1010" spans="1:17" x14ac:dyDescent="0.25">
      <c r="A1010" t="s">
        <v>234</v>
      </c>
      <c r="B1010" t="s">
        <v>235</v>
      </c>
      <c r="C1010" s="1">
        <v>41275</v>
      </c>
      <c r="D1010" s="1">
        <v>41639</v>
      </c>
      <c r="E1010" t="s">
        <v>236</v>
      </c>
      <c r="G1010" t="s">
        <v>237</v>
      </c>
      <c r="H1010" t="s">
        <v>42</v>
      </c>
      <c r="I1010" t="str">
        <f>"54601"</f>
        <v>54601</v>
      </c>
      <c r="J1010" t="s">
        <v>22</v>
      </c>
      <c r="K1010" t="s">
        <v>23</v>
      </c>
      <c r="L1010" s="2">
        <v>5469932</v>
      </c>
      <c r="M1010" s="2">
        <v>2072383</v>
      </c>
      <c r="N1010" s="2">
        <v>0</v>
      </c>
      <c r="O1010" s="2">
        <v>572996</v>
      </c>
      <c r="P1010" t="s">
        <v>24</v>
      </c>
      <c r="Q1010" t="s">
        <v>24</v>
      </c>
    </row>
    <row r="1011" spans="1:17" x14ac:dyDescent="0.25">
      <c r="A1011" t="s">
        <v>3487</v>
      </c>
      <c r="B1011" t="s">
        <v>3488</v>
      </c>
      <c r="C1011" s="1">
        <v>41275</v>
      </c>
      <c r="D1011" s="1">
        <v>41639</v>
      </c>
      <c r="E1011" t="s">
        <v>3489</v>
      </c>
      <c r="G1011" t="s">
        <v>147</v>
      </c>
      <c r="H1011" t="s">
        <v>62</v>
      </c>
      <c r="I1011" t="str">
        <f>"44333"</f>
        <v>44333</v>
      </c>
      <c r="J1011" t="s">
        <v>22</v>
      </c>
      <c r="K1011" t="s">
        <v>23</v>
      </c>
      <c r="L1011" s="2">
        <v>5467820</v>
      </c>
      <c r="M1011" s="2">
        <v>187507</v>
      </c>
      <c r="N1011" s="2">
        <v>0</v>
      </c>
      <c r="O1011" s="2">
        <v>498908</v>
      </c>
      <c r="P1011" t="s">
        <v>24</v>
      </c>
      <c r="Q1011" t="s">
        <v>24</v>
      </c>
    </row>
    <row r="1012" spans="1:17" x14ac:dyDescent="0.25">
      <c r="A1012" t="s">
        <v>1931</v>
      </c>
      <c r="B1012" t="s">
        <v>1932</v>
      </c>
      <c r="C1012" s="1">
        <v>41275</v>
      </c>
      <c r="D1012" s="1">
        <v>41639</v>
      </c>
      <c r="E1012" t="s">
        <v>1933</v>
      </c>
      <c r="G1012" t="s">
        <v>1934</v>
      </c>
      <c r="H1012" t="s">
        <v>47</v>
      </c>
      <c r="I1012" t="str">
        <f>"49046"</f>
        <v>49046</v>
      </c>
      <c r="J1012" t="s">
        <v>22</v>
      </c>
      <c r="K1012" t="s">
        <v>30</v>
      </c>
      <c r="L1012" s="2">
        <v>5467083</v>
      </c>
      <c r="M1012" s="2">
        <v>768407</v>
      </c>
      <c r="N1012" s="2">
        <v>0</v>
      </c>
      <c r="O1012" s="2">
        <v>306857</v>
      </c>
      <c r="P1012" t="s">
        <v>24</v>
      </c>
      <c r="Q1012" t="s">
        <v>24</v>
      </c>
    </row>
    <row r="1013" spans="1:17" x14ac:dyDescent="0.25">
      <c r="A1013" t="s">
        <v>7725</v>
      </c>
      <c r="B1013" t="s">
        <v>7726</v>
      </c>
      <c r="C1013" s="1">
        <v>41275</v>
      </c>
      <c r="D1013" s="1">
        <v>41639</v>
      </c>
      <c r="E1013" t="s">
        <v>7727</v>
      </c>
      <c r="G1013" t="s">
        <v>5487</v>
      </c>
      <c r="H1013" t="s">
        <v>62</v>
      </c>
      <c r="I1013" t="str">
        <f>"45011"</f>
        <v>45011</v>
      </c>
      <c r="J1013" t="s">
        <v>22</v>
      </c>
      <c r="K1013" t="s">
        <v>79</v>
      </c>
      <c r="L1013" s="2">
        <v>5465180</v>
      </c>
      <c r="M1013" s="2">
        <v>5579273</v>
      </c>
      <c r="N1013" s="2">
        <v>0</v>
      </c>
      <c r="O1013" s="2">
        <v>238665</v>
      </c>
      <c r="P1013" t="s">
        <v>24</v>
      </c>
      <c r="Q1013" t="s">
        <v>24</v>
      </c>
    </row>
    <row r="1014" spans="1:17" x14ac:dyDescent="0.25">
      <c r="A1014" t="s">
        <v>7413</v>
      </c>
      <c r="B1014" t="s">
        <v>7414</v>
      </c>
      <c r="C1014" s="1">
        <v>41275</v>
      </c>
      <c r="D1014" s="1">
        <v>41639</v>
      </c>
      <c r="E1014" t="s">
        <v>7415</v>
      </c>
      <c r="G1014" t="s">
        <v>7416</v>
      </c>
      <c r="H1014" t="s">
        <v>62</v>
      </c>
      <c r="I1014" t="str">
        <f>"44072"</f>
        <v>44072</v>
      </c>
      <c r="J1014" t="s">
        <v>22</v>
      </c>
      <c r="K1014" t="s">
        <v>30</v>
      </c>
      <c r="L1014" s="2">
        <v>5461524</v>
      </c>
      <c r="M1014" s="2">
        <v>1906612</v>
      </c>
      <c r="N1014" s="2">
        <v>0</v>
      </c>
      <c r="O1014" s="2">
        <v>221879</v>
      </c>
      <c r="P1014" t="s">
        <v>24</v>
      </c>
      <c r="Q1014" t="s">
        <v>24</v>
      </c>
    </row>
    <row r="1015" spans="1:17" x14ac:dyDescent="0.25">
      <c r="A1015" t="s">
        <v>6927</v>
      </c>
      <c r="B1015" t="s">
        <v>6928</v>
      </c>
      <c r="C1015" s="1">
        <v>41275</v>
      </c>
      <c r="D1015" s="1">
        <v>41639</v>
      </c>
      <c r="E1015" t="s">
        <v>6929</v>
      </c>
      <c r="G1015" t="s">
        <v>28</v>
      </c>
      <c r="H1015" t="s">
        <v>29</v>
      </c>
      <c r="I1015" t="str">
        <f>"60654"</f>
        <v>60654</v>
      </c>
      <c r="J1015" t="s">
        <v>63</v>
      </c>
      <c r="K1015" t="s">
        <v>30</v>
      </c>
      <c r="L1015" s="2">
        <v>5460028</v>
      </c>
      <c r="M1015" s="2">
        <v>9380803</v>
      </c>
      <c r="N1015" s="2">
        <v>3588442</v>
      </c>
      <c r="O1015" s="2">
        <v>8234507</v>
      </c>
      <c r="P1015" s="2">
        <v>20025</v>
      </c>
      <c r="Q1015" s="2">
        <v>0</v>
      </c>
    </row>
    <row r="1016" spans="1:17" x14ac:dyDescent="0.25">
      <c r="A1016" t="s">
        <v>7050</v>
      </c>
      <c r="B1016" t="s">
        <v>7051</v>
      </c>
      <c r="C1016" s="1">
        <v>41275</v>
      </c>
      <c r="D1016" s="1">
        <v>41639</v>
      </c>
      <c r="E1016" t="s">
        <v>7052</v>
      </c>
      <c r="G1016" t="s">
        <v>57</v>
      </c>
      <c r="H1016" t="s">
        <v>29</v>
      </c>
      <c r="I1016" t="str">
        <f>"60523"</f>
        <v>60523</v>
      </c>
      <c r="J1016" t="s">
        <v>22</v>
      </c>
      <c r="K1016" t="s">
        <v>23</v>
      </c>
      <c r="L1016" s="2">
        <v>5458641</v>
      </c>
      <c r="M1016" s="2">
        <v>2587522</v>
      </c>
      <c r="N1016" s="2">
        <v>0</v>
      </c>
      <c r="O1016" s="2">
        <v>904020</v>
      </c>
      <c r="P1016" t="s">
        <v>24</v>
      </c>
      <c r="Q1016" t="s">
        <v>24</v>
      </c>
    </row>
    <row r="1017" spans="1:17" x14ac:dyDescent="0.25">
      <c r="A1017" t="s">
        <v>5566</v>
      </c>
      <c r="B1017" t="s">
        <v>5567</v>
      </c>
      <c r="C1017" s="1">
        <v>41275</v>
      </c>
      <c r="D1017" s="1">
        <v>41639</v>
      </c>
      <c r="E1017" t="s">
        <v>1496</v>
      </c>
      <c r="G1017" t="s">
        <v>167</v>
      </c>
      <c r="H1017" t="s">
        <v>62</v>
      </c>
      <c r="I1017" t="str">
        <f>"45263"</f>
        <v>45263</v>
      </c>
      <c r="J1017" t="s">
        <v>22</v>
      </c>
      <c r="K1017" t="s">
        <v>30</v>
      </c>
      <c r="L1017" s="2">
        <v>5457224</v>
      </c>
      <c r="M1017" s="2">
        <v>2879806</v>
      </c>
      <c r="N1017" s="2">
        <v>0</v>
      </c>
      <c r="O1017" s="2">
        <v>284860</v>
      </c>
      <c r="P1017" t="s">
        <v>24</v>
      </c>
      <c r="Q1017" t="s">
        <v>24</v>
      </c>
    </row>
    <row r="1018" spans="1:17" x14ac:dyDescent="0.25">
      <c r="A1018" t="s">
        <v>7402</v>
      </c>
      <c r="B1018" t="s">
        <v>7403</v>
      </c>
      <c r="C1018" s="1">
        <v>41275</v>
      </c>
      <c r="D1018" s="1">
        <v>41639</v>
      </c>
      <c r="E1018" t="s">
        <v>50</v>
      </c>
      <c r="G1018" t="s">
        <v>28</v>
      </c>
      <c r="H1018" t="s">
        <v>29</v>
      </c>
      <c r="I1018" t="str">
        <f>"60603"</f>
        <v>60603</v>
      </c>
      <c r="J1018" t="s">
        <v>22</v>
      </c>
      <c r="K1018" t="s">
        <v>30</v>
      </c>
      <c r="L1018" s="2">
        <v>5419809</v>
      </c>
      <c r="M1018" s="2">
        <v>1501357</v>
      </c>
      <c r="N1018" s="2">
        <v>0</v>
      </c>
      <c r="O1018" s="2">
        <v>308007</v>
      </c>
      <c r="P1018" t="s">
        <v>24</v>
      </c>
      <c r="Q1018" t="s">
        <v>24</v>
      </c>
    </row>
    <row r="1019" spans="1:17" x14ac:dyDescent="0.25">
      <c r="A1019" t="s">
        <v>557</v>
      </c>
      <c r="B1019" t="s">
        <v>558</v>
      </c>
      <c r="C1019" s="1">
        <v>41275</v>
      </c>
      <c r="D1019" s="1">
        <v>41639</v>
      </c>
      <c r="E1019" t="s">
        <v>236</v>
      </c>
      <c r="G1019" t="s">
        <v>237</v>
      </c>
      <c r="H1019" t="s">
        <v>42</v>
      </c>
      <c r="I1019" t="str">
        <f>"54601"</f>
        <v>54601</v>
      </c>
      <c r="J1019" t="s">
        <v>22</v>
      </c>
      <c r="K1019" t="s">
        <v>30</v>
      </c>
      <c r="L1019" s="2">
        <v>5412526</v>
      </c>
      <c r="M1019" s="2">
        <v>1632176</v>
      </c>
      <c r="N1019" s="2">
        <v>0</v>
      </c>
      <c r="O1019" s="2">
        <v>279544</v>
      </c>
      <c r="P1019" t="s">
        <v>24</v>
      </c>
      <c r="Q1019" t="s">
        <v>24</v>
      </c>
    </row>
    <row r="1020" spans="1:17" x14ac:dyDescent="0.25">
      <c r="A1020" t="s">
        <v>5440</v>
      </c>
      <c r="B1020" t="s">
        <v>5441</v>
      </c>
      <c r="C1020" s="1">
        <v>41275</v>
      </c>
      <c r="D1020" s="1">
        <v>41639</v>
      </c>
      <c r="E1020" t="s">
        <v>5442</v>
      </c>
      <c r="G1020" t="s">
        <v>1575</v>
      </c>
      <c r="H1020" t="s">
        <v>42</v>
      </c>
      <c r="I1020" t="str">
        <f>"54912"</f>
        <v>54912</v>
      </c>
      <c r="J1020" t="s">
        <v>22</v>
      </c>
      <c r="K1020" t="s">
        <v>91</v>
      </c>
      <c r="L1020" s="2">
        <v>5411364</v>
      </c>
      <c r="M1020" s="2">
        <v>1060677</v>
      </c>
      <c r="N1020" s="2">
        <v>0</v>
      </c>
      <c r="O1020" s="2">
        <v>366879</v>
      </c>
      <c r="P1020" t="s">
        <v>24</v>
      </c>
      <c r="Q1020" t="s">
        <v>24</v>
      </c>
    </row>
    <row r="1021" spans="1:17" x14ac:dyDescent="0.25">
      <c r="A1021" t="s">
        <v>6613</v>
      </c>
      <c r="B1021" t="s">
        <v>6614</v>
      </c>
      <c r="C1021" s="1">
        <v>41275</v>
      </c>
      <c r="D1021" s="1">
        <v>41639</v>
      </c>
      <c r="E1021" t="s">
        <v>6615</v>
      </c>
      <c r="G1021" t="s">
        <v>1028</v>
      </c>
      <c r="H1021" t="s">
        <v>47</v>
      </c>
      <c r="I1021" t="str">
        <f>"48103"</f>
        <v>48103</v>
      </c>
      <c r="J1021" t="s">
        <v>22</v>
      </c>
      <c r="K1021" t="s">
        <v>23</v>
      </c>
      <c r="L1021" s="2">
        <v>5407376</v>
      </c>
      <c r="M1021" s="2">
        <v>1359648</v>
      </c>
      <c r="N1021" s="2">
        <v>34764</v>
      </c>
      <c r="O1021" s="2">
        <v>284402</v>
      </c>
      <c r="P1021" t="s">
        <v>24</v>
      </c>
      <c r="Q1021" t="s">
        <v>24</v>
      </c>
    </row>
    <row r="1022" spans="1:17" x14ac:dyDescent="0.25">
      <c r="A1022" t="s">
        <v>561</v>
      </c>
      <c r="B1022" t="s">
        <v>562</v>
      </c>
      <c r="C1022" s="1">
        <v>41275</v>
      </c>
      <c r="D1022" s="1">
        <v>41639</v>
      </c>
      <c r="E1022" t="s">
        <v>40</v>
      </c>
      <c r="G1022" t="s">
        <v>41</v>
      </c>
      <c r="H1022" t="s">
        <v>42</v>
      </c>
      <c r="I1022" t="str">
        <f>"53201"</f>
        <v>53201</v>
      </c>
      <c r="J1022" t="s">
        <v>22</v>
      </c>
      <c r="K1022" t="s">
        <v>30</v>
      </c>
      <c r="L1022" s="2">
        <v>5407292</v>
      </c>
      <c r="M1022" s="2">
        <v>1618689</v>
      </c>
      <c r="N1022" s="2">
        <v>0</v>
      </c>
      <c r="O1022" s="2">
        <v>58179</v>
      </c>
      <c r="P1022" t="s">
        <v>24</v>
      </c>
      <c r="Q1022" t="s">
        <v>24</v>
      </c>
    </row>
    <row r="1023" spans="1:17" x14ac:dyDescent="0.25">
      <c r="A1023" t="s">
        <v>7312</v>
      </c>
      <c r="B1023" t="s">
        <v>7313</v>
      </c>
      <c r="C1023" s="1">
        <v>41275</v>
      </c>
      <c r="D1023" s="1">
        <v>41639</v>
      </c>
      <c r="E1023" t="s">
        <v>7314</v>
      </c>
      <c r="G1023" t="s">
        <v>237</v>
      </c>
      <c r="H1023" t="s">
        <v>42</v>
      </c>
      <c r="I1023" t="str">
        <f>"54601"</f>
        <v>54601</v>
      </c>
      <c r="J1023" t="s">
        <v>22</v>
      </c>
      <c r="K1023" t="s">
        <v>23</v>
      </c>
      <c r="L1023" s="2">
        <v>5393105</v>
      </c>
      <c r="M1023" s="2">
        <v>2118797</v>
      </c>
      <c r="N1023" s="2">
        <v>0</v>
      </c>
      <c r="O1023" s="2">
        <v>278097</v>
      </c>
      <c r="P1023" t="s">
        <v>24</v>
      </c>
      <c r="Q1023" t="s">
        <v>24</v>
      </c>
    </row>
    <row r="1024" spans="1:17" x14ac:dyDescent="0.25">
      <c r="A1024" t="s">
        <v>7717</v>
      </c>
      <c r="B1024" t="s">
        <v>7718</v>
      </c>
      <c r="C1024" s="1">
        <v>41275</v>
      </c>
      <c r="D1024" s="1">
        <v>41639</v>
      </c>
      <c r="E1024" t="s">
        <v>1496</v>
      </c>
      <c r="G1024" t="s">
        <v>167</v>
      </c>
      <c r="H1024" t="s">
        <v>62</v>
      </c>
      <c r="I1024" t="str">
        <f>"45263"</f>
        <v>45263</v>
      </c>
      <c r="J1024" t="s">
        <v>22</v>
      </c>
      <c r="K1024" t="s">
        <v>23</v>
      </c>
      <c r="L1024" s="2">
        <v>5385648</v>
      </c>
      <c r="M1024" s="2">
        <v>1995444</v>
      </c>
      <c r="N1024" s="2">
        <v>0</v>
      </c>
      <c r="O1024" s="2">
        <v>266344</v>
      </c>
      <c r="P1024" t="s">
        <v>24</v>
      </c>
      <c r="Q1024" t="s">
        <v>24</v>
      </c>
    </row>
    <row r="1025" spans="1:17" x14ac:dyDescent="0.25">
      <c r="A1025" t="s">
        <v>7247</v>
      </c>
      <c r="B1025" t="s">
        <v>7248</v>
      </c>
      <c r="C1025" s="1">
        <v>41275</v>
      </c>
      <c r="D1025" s="1">
        <v>41639</v>
      </c>
      <c r="E1025" t="s">
        <v>7249</v>
      </c>
      <c r="G1025" t="s">
        <v>77</v>
      </c>
      <c r="H1025" t="s">
        <v>78</v>
      </c>
      <c r="I1025" t="str">
        <f>"40232"</f>
        <v>40232</v>
      </c>
      <c r="J1025" t="s">
        <v>22</v>
      </c>
      <c r="K1025" t="s">
        <v>23</v>
      </c>
      <c r="L1025" s="2">
        <v>5378090</v>
      </c>
      <c r="M1025" s="2">
        <v>4637283</v>
      </c>
      <c r="N1025" s="2">
        <v>0</v>
      </c>
      <c r="O1025" s="2">
        <v>127859</v>
      </c>
      <c r="P1025" t="s">
        <v>24</v>
      </c>
      <c r="Q1025" t="s">
        <v>24</v>
      </c>
    </row>
    <row r="1026" spans="1:17" x14ac:dyDescent="0.25">
      <c r="A1026" t="s">
        <v>4688</v>
      </c>
      <c r="B1026" t="s">
        <v>4689</v>
      </c>
      <c r="C1026" s="1">
        <v>40909</v>
      </c>
      <c r="D1026" s="1">
        <v>41274</v>
      </c>
      <c r="E1026" t="s">
        <v>1708</v>
      </c>
      <c r="G1026" t="s">
        <v>28</v>
      </c>
      <c r="H1026" t="s">
        <v>29</v>
      </c>
      <c r="I1026" t="str">
        <f>"60606"</f>
        <v>60606</v>
      </c>
      <c r="J1026" t="s">
        <v>22</v>
      </c>
      <c r="K1026" t="s">
        <v>30</v>
      </c>
      <c r="L1026" s="2">
        <v>5376464</v>
      </c>
      <c r="M1026" s="2">
        <v>549583</v>
      </c>
      <c r="N1026" s="2">
        <v>23310</v>
      </c>
      <c r="O1026" s="2">
        <v>336753</v>
      </c>
      <c r="P1026" t="s">
        <v>24</v>
      </c>
      <c r="Q1026" t="s">
        <v>24</v>
      </c>
    </row>
    <row r="1027" spans="1:17" x14ac:dyDescent="0.25">
      <c r="A1027" t="s">
        <v>4965</v>
      </c>
      <c r="B1027" t="s">
        <v>4966</v>
      </c>
      <c r="C1027" s="1">
        <v>41275</v>
      </c>
      <c r="D1027" s="1">
        <v>41639</v>
      </c>
      <c r="E1027" t="s">
        <v>4967</v>
      </c>
      <c r="G1027" t="s">
        <v>4968</v>
      </c>
      <c r="H1027" t="s">
        <v>21</v>
      </c>
      <c r="I1027" t="str">
        <f>"47944"</f>
        <v>47944</v>
      </c>
      <c r="J1027" t="s">
        <v>63</v>
      </c>
      <c r="K1027" t="s">
        <v>64</v>
      </c>
      <c r="L1027" s="2">
        <v>5370005</v>
      </c>
      <c r="M1027" s="2">
        <v>551575</v>
      </c>
      <c r="N1027" s="2">
        <v>171483</v>
      </c>
      <c r="O1027" s="2">
        <v>376059</v>
      </c>
      <c r="P1027" s="2">
        <v>51943</v>
      </c>
      <c r="Q1027" s="2">
        <v>36381</v>
      </c>
    </row>
    <row r="1028" spans="1:17" x14ac:dyDescent="0.25">
      <c r="A1028" t="s">
        <v>5505</v>
      </c>
      <c r="B1028" t="s">
        <v>5506</v>
      </c>
      <c r="C1028" s="1">
        <v>41275</v>
      </c>
      <c r="D1028" s="1">
        <v>41639</v>
      </c>
      <c r="E1028" t="s">
        <v>5507</v>
      </c>
      <c r="G1028" t="s">
        <v>5508</v>
      </c>
      <c r="H1028" t="s">
        <v>29</v>
      </c>
      <c r="I1028" t="str">
        <f>"60970"</f>
        <v>60970</v>
      </c>
      <c r="J1028" t="s">
        <v>22</v>
      </c>
      <c r="K1028" t="s">
        <v>23</v>
      </c>
      <c r="L1028" s="2">
        <v>5366999</v>
      </c>
      <c r="M1028" s="2">
        <v>929063</v>
      </c>
      <c r="N1028" s="2">
        <v>20000</v>
      </c>
      <c r="O1028" s="2">
        <v>237988</v>
      </c>
      <c r="P1028" t="s">
        <v>24</v>
      </c>
      <c r="Q1028" t="s">
        <v>24</v>
      </c>
    </row>
    <row r="1029" spans="1:17" x14ac:dyDescent="0.25">
      <c r="A1029" t="s">
        <v>4259</v>
      </c>
      <c r="B1029" t="s">
        <v>4260</v>
      </c>
      <c r="C1029" s="1">
        <v>40909</v>
      </c>
      <c r="D1029" s="1">
        <v>41274</v>
      </c>
      <c r="E1029" t="s">
        <v>4261</v>
      </c>
      <c r="G1029" t="s">
        <v>28</v>
      </c>
      <c r="H1029" t="s">
        <v>29</v>
      </c>
      <c r="I1029" t="str">
        <f>"60605"</f>
        <v>60605</v>
      </c>
      <c r="J1029" t="s">
        <v>22</v>
      </c>
      <c r="K1029" t="s">
        <v>30</v>
      </c>
      <c r="L1029" s="2">
        <v>5364356</v>
      </c>
      <c r="M1029" s="2">
        <v>2273002</v>
      </c>
      <c r="N1029" s="2">
        <v>0</v>
      </c>
      <c r="O1029" s="2">
        <v>350599</v>
      </c>
      <c r="P1029" t="s">
        <v>24</v>
      </c>
      <c r="Q1029" t="s">
        <v>24</v>
      </c>
    </row>
    <row r="1030" spans="1:17" x14ac:dyDescent="0.25">
      <c r="A1030" t="s">
        <v>859</v>
      </c>
      <c r="B1030" t="s">
        <v>860</v>
      </c>
      <c r="C1030" s="1">
        <v>41275</v>
      </c>
      <c r="D1030" s="1">
        <v>41639</v>
      </c>
      <c r="E1030" t="s">
        <v>861</v>
      </c>
      <c r="G1030" t="s">
        <v>655</v>
      </c>
      <c r="H1030" t="s">
        <v>29</v>
      </c>
      <c r="I1030" t="str">
        <f>"60559"</f>
        <v>60559</v>
      </c>
      <c r="J1030" t="s">
        <v>22</v>
      </c>
      <c r="K1030" t="s">
        <v>30</v>
      </c>
      <c r="L1030" s="2">
        <v>5361007</v>
      </c>
      <c r="M1030" s="2">
        <v>99336</v>
      </c>
      <c r="N1030" s="2">
        <v>0</v>
      </c>
      <c r="O1030" s="2">
        <v>282885</v>
      </c>
      <c r="P1030" t="s">
        <v>24</v>
      </c>
      <c r="Q1030" t="s">
        <v>24</v>
      </c>
    </row>
    <row r="1031" spans="1:17" x14ac:dyDescent="0.25">
      <c r="A1031" t="s">
        <v>6531</v>
      </c>
      <c r="B1031" t="s">
        <v>6532</v>
      </c>
      <c r="C1031" s="1">
        <v>40909</v>
      </c>
      <c r="D1031" s="1">
        <v>41274</v>
      </c>
      <c r="E1031" t="s">
        <v>6533</v>
      </c>
      <c r="G1031" t="s">
        <v>6534</v>
      </c>
      <c r="H1031" t="s">
        <v>62</v>
      </c>
      <c r="I1031" t="str">
        <f>"45851"</f>
        <v>45851</v>
      </c>
      <c r="J1031" t="s">
        <v>22</v>
      </c>
      <c r="K1031" t="s">
        <v>23</v>
      </c>
      <c r="L1031" s="2">
        <v>5353507</v>
      </c>
      <c r="M1031" s="2">
        <v>1693846</v>
      </c>
      <c r="N1031" s="2">
        <v>0</v>
      </c>
      <c r="O1031" s="2">
        <v>1213541</v>
      </c>
      <c r="P1031" t="s">
        <v>24</v>
      </c>
      <c r="Q1031" t="s">
        <v>24</v>
      </c>
    </row>
    <row r="1032" spans="1:17" x14ac:dyDescent="0.25">
      <c r="A1032" t="s">
        <v>5156</v>
      </c>
      <c r="B1032" t="s">
        <v>5157</v>
      </c>
      <c r="C1032" s="1">
        <v>41275</v>
      </c>
      <c r="D1032" s="1">
        <v>41639</v>
      </c>
      <c r="E1032" t="s">
        <v>5158</v>
      </c>
      <c r="G1032" t="s">
        <v>28</v>
      </c>
      <c r="H1032" t="s">
        <v>29</v>
      </c>
      <c r="I1032" t="str">
        <f>"60606"</f>
        <v>60606</v>
      </c>
      <c r="J1032" t="s">
        <v>22</v>
      </c>
      <c r="K1032" t="s">
        <v>30</v>
      </c>
      <c r="L1032" s="2">
        <v>5340583</v>
      </c>
      <c r="M1032" s="2">
        <v>5209961</v>
      </c>
      <c r="N1032" s="2">
        <v>36542</v>
      </c>
      <c r="O1032" s="2">
        <v>270641</v>
      </c>
      <c r="P1032" t="s">
        <v>24</v>
      </c>
      <c r="Q1032" t="s">
        <v>24</v>
      </c>
    </row>
    <row r="1033" spans="1:17" x14ac:dyDescent="0.25">
      <c r="A1033" t="s">
        <v>6419</v>
      </c>
      <c r="B1033" t="s">
        <v>6420</v>
      </c>
      <c r="C1033" s="1">
        <v>41275</v>
      </c>
      <c r="D1033" s="1">
        <v>41639</v>
      </c>
      <c r="E1033" t="s">
        <v>6421</v>
      </c>
      <c r="G1033" t="s">
        <v>965</v>
      </c>
      <c r="H1033" t="s">
        <v>29</v>
      </c>
      <c r="I1033" t="str">
        <f>"62523"</f>
        <v>62523</v>
      </c>
      <c r="J1033" t="s">
        <v>22</v>
      </c>
      <c r="K1033" t="s">
        <v>30</v>
      </c>
      <c r="L1033" s="2">
        <v>5333717</v>
      </c>
      <c r="M1033" s="2">
        <v>1151662</v>
      </c>
      <c r="N1033" s="2">
        <v>0</v>
      </c>
      <c r="O1033" s="2">
        <v>286041</v>
      </c>
      <c r="P1033" t="s">
        <v>24</v>
      </c>
      <c r="Q1033" t="s">
        <v>24</v>
      </c>
    </row>
    <row r="1034" spans="1:17" x14ac:dyDescent="0.25">
      <c r="A1034" t="s">
        <v>6713</v>
      </c>
      <c r="B1034" t="s">
        <v>6714</v>
      </c>
      <c r="C1034" s="1">
        <v>41275</v>
      </c>
      <c r="D1034" s="1">
        <v>41639</v>
      </c>
      <c r="E1034" t="s">
        <v>6715</v>
      </c>
      <c r="G1034" t="s">
        <v>1920</v>
      </c>
      <c r="H1034" t="s">
        <v>47</v>
      </c>
      <c r="I1034" t="str">
        <f>"48331"</f>
        <v>48331</v>
      </c>
      <c r="J1034" t="s">
        <v>22</v>
      </c>
      <c r="K1034" t="s">
        <v>23</v>
      </c>
      <c r="L1034" s="2">
        <v>5315846</v>
      </c>
      <c r="M1034" s="2">
        <v>10612639</v>
      </c>
      <c r="N1034" s="2">
        <v>0</v>
      </c>
      <c r="O1034" s="2">
        <v>52750</v>
      </c>
      <c r="P1034" t="s">
        <v>24</v>
      </c>
      <c r="Q1034" t="s">
        <v>24</v>
      </c>
    </row>
    <row r="1035" spans="1:17" x14ac:dyDescent="0.25">
      <c r="A1035" t="s">
        <v>7767</v>
      </c>
      <c r="B1035" t="s">
        <v>7768</v>
      </c>
      <c r="C1035" s="1">
        <v>41275</v>
      </c>
      <c r="D1035" s="1">
        <v>41639</v>
      </c>
      <c r="E1035" t="s">
        <v>7769</v>
      </c>
      <c r="G1035" t="s">
        <v>28</v>
      </c>
      <c r="H1035" t="s">
        <v>29</v>
      </c>
      <c r="I1035" t="str">
        <f>"60697"</f>
        <v>60697</v>
      </c>
      <c r="J1035" t="s">
        <v>22</v>
      </c>
      <c r="K1035" t="s">
        <v>23</v>
      </c>
      <c r="L1035" s="2">
        <v>5304278</v>
      </c>
      <c r="M1035" s="2">
        <v>4977439</v>
      </c>
      <c r="N1035" s="2">
        <v>0</v>
      </c>
      <c r="O1035" s="2">
        <v>1002262</v>
      </c>
      <c r="P1035" t="s">
        <v>24</v>
      </c>
      <c r="Q1035" t="s">
        <v>24</v>
      </c>
    </row>
    <row r="1036" spans="1:17" x14ac:dyDescent="0.25">
      <c r="A1036" t="s">
        <v>6411</v>
      </c>
      <c r="B1036" t="s">
        <v>6412</v>
      </c>
      <c r="C1036" s="1">
        <v>40909</v>
      </c>
      <c r="D1036" s="1">
        <v>41274</v>
      </c>
      <c r="E1036" t="s">
        <v>6413</v>
      </c>
      <c r="F1036" t="s">
        <v>6414</v>
      </c>
      <c r="G1036" t="s">
        <v>353</v>
      </c>
      <c r="H1036" t="s">
        <v>62</v>
      </c>
      <c r="I1036" t="str">
        <f>"43215"</f>
        <v>43215</v>
      </c>
      <c r="J1036" t="s">
        <v>22</v>
      </c>
      <c r="K1036" t="s">
        <v>6415</v>
      </c>
      <c r="L1036" s="2">
        <v>5301290</v>
      </c>
      <c r="M1036" s="2">
        <v>3243757</v>
      </c>
      <c r="N1036" s="2">
        <v>2495</v>
      </c>
      <c r="O1036" s="2">
        <v>152547</v>
      </c>
      <c r="P1036" t="s">
        <v>24</v>
      </c>
      <c r="Q1036" t="s">
        <v>24</v>
      </c>
    </row>
    <row r="1037" spans="1:17" x14ac:dyDescent="0.25">
      <c r="A1037" t="s">
        <v>1848</v>
      </c>
      <c r="B1037" t="s">
        <v>1849</v>
      </c>
      <c r="C1037" s="1">
        <v>40909</v>
      </c>
      <c r="D1037" s="1">
        <v>41274</v>
      </c>
      <c r="E1037" t="s">
        <v>1850</v>
      </c>
      <c r="G1037" t="s">
        <v>167</v>
      </c>
      <c r="H1037" t="s">
        <v>62</v>
      </c>
      <c r="I1037" t="str">
        <f>"45236"</f>
        <v>45236</v>
      </c>
      <c r="J1037" t="s">
        <v>22</v>
      </c>
      <c r="K1037" t="s">
        <v>23</v>
      </c>
      <c r="L1037" s="2">
        <v>5282579</v>
      </c>
      <c r="M1037" s="2">
        <v>531901</v>
      </c>
      <c r="N1037" s="2">
        <v>0</v>
      </c>
      <c r="O1037" s="2">
        <v>271249</v>
      </c>
      <c r="P1037" t="s">
        <v>24</v>
      </c>
      <c r="Q1037" t="s">
        <v>24</v>
      </c>
    </row>
    <row r="1038" spans="1:17" x14ac:dyDescent="0.25">
      <c r="A1038" t="s">
        <v>6746</v>
      </c>
      <c r="B1038" t="s">
        <v>6747</v>
      </c>
      <c r="C1038" s="1">
        <v>41122</v>
      </c>
      <c r="D1038" s="1">
        <v>41486</v>
      </c>
      <c r="E1038" t="s">
        <v>4245</v>
      </c>
      <c r="G1038" t="s">
        <v>28</v>
      </c>
      <c r="H1038" t="s">
        <v>29</v>
      </c>
      <c r="I1038" t="str">
        <f>"60611"</f>
        <v>60611</v>
      </c>
      <c r="J1038" t="s">
        <v>22</v>
      </c>
      <c r="K1038" t="s">
        <v>30</v>
      </c>
      <c r="L1038" s="2">
        <v>5274156</v>
      </c>
      <c r="M1038" s="2">
        <v>1838929</v>
      </c>
      <c r="N1038" s="2">
        <v>0</v>
      </c>
      <c r="O1038" s="2">
        <v>1457407</v>
      </c>
      <c r="P1038" t="s">
        <v>24</v>
      </c>
      <c r="Q1038" t="s">
        <v>24</v>
      </c>
    </row>
    <row r="1039" spans="1:17" x14ac:dyDescent="0.25">
      <c r="A1039" t="s">
        <v>3245</v>
      </c>
      <c r="B1039" t="s">
        <v>3246</v>
      </c>
      <c r="C1039" s="1">
        <v>41275</v>
      </c>
      <c r="D1039" s="1">
        <v>41639</v>
      </c>
      <c r="E1039" t="s">
        <v>3247</v>
      </c>
      <c r="G1039" t="s">
        <v>86</v>
      </c>
      <c r="H1039" t="s">
        <v>42</v>
      </c>
      <c r="I1039" t="str">
        <f>"53711"</f>
        <v>53711</v>
      </c>
      <c r="J1039" t="s">
        <v>22</v>
      </c>
      <c r="K1039" t="s">
        <v>91</v>
      </c>
      <c r="L1039" s="2">
        <v>5259809</v>
      </c>
      <c r="M1039" s="2">
        <v>2174974</v>
      </c>
      <c r="N1039" s="2">
        <v>0</v>
      </c>
      <c r="O1039" s="2">
        <v>294680</v>
      </c>
      <c r="P1039" t="s">
        <v>24</v>
      </c>
      <c r="Q1039" t="s">
        <v>24</v>
      </c>
    </row>
    <row r="1040" spans="1:17" x14ac:dyDescent="0.25">
      <c r="A1040" t="s">
        <v>6751</v>
      </c>
      <c r="B1040" t="s">
        <v>6752</v>
      </c>
      <c r="C1040" s="1">
        <v>41275</v>
      </c>
      <c r="D1040" s="1">
        <v>41639</v>
      </c>
      <c r="E1040" t="s">
        <v>6753</v>
      </c>
      <c r="G1040" t="s">
        <v>843</v>
      </c>
      <c r="H1040" t="s">
        <v>47</v>
      </c>
      <c r="I1040" t="str">
        <f>"49351"</f>
        <v>49351</v>
      </c>
      <c r="J1040" t="s">
        <v>22</v>
      </c>
      <c r="K1040" t="s">
        <v>91</v>
      </c>
      <c r="L1040" s="2">
        <v>5236622</v>
      </c>
      <c r="M1040" s="2">
        <v>1576837</v>
      </c>
      <c r="N1040" s="2">
        <v>0</v>
      </c>
      <c r="O1040" s="2">
        <v>830748</v>
      </c>
      <c r="P1040" t="s">
        <v>24</v>
      </c>
      <c r="Q1040" t="s">
        <v>24</v>
      </c>
    </row>
    <row r="1041" spans="1:17" x14ac:dyDescent="0.25">
      <c r="A1041" t="s">
        <v>7008</v>
      </c>
      <c r="B1041" t="s">
        <v>7009</v>
      </c>
      <c r="C1041" s="1">
        <v>41275</v>
      </c>
      <c r="D1041" s="1">
        <v>41639</v>
      </c>
      <c r="E1041" t="s">
        <v>142</v>
      </c>
      <c r="G1041" t="s">
        <v>143</v>
      </c>
      <c r="H1041" t="s">
        <v>47</v>
      </c>
      <c r="I1041" t="str">
        <f>"48275"</f>
        <v>48275</v>
      </c>
      <c r="J1041" t="s">
        <v>22</v>
      </c>
      <c r="K1041" t="s">
        <v>23</v>
      </c>
      <c r="L1041" s="2">
        <v>5231616</v>
      </c>
      <c r="M1041" s="2">
        <v>2385467</v>
      </c>
      <c r="N1041" s="2">
        <v>0</v>
      </c>
      <c r="O1041" s="2">
        <v>357821</v>
      </c>
      <c r="P1041" t="s">
        <v>24</v>
      </c>
      <c r="Q1041" t="s">
        <v>24</v>
      </c>
    </row>
    <row r="1042" spans="1:17" x14ac:dyDescent="0.25">
      <c r="A1042" t="s">
        <v>984</v>
      </c>
      <c r="B1042" t="s">
        <v>985</v>
      </c>
      <c r="C1042" s="1">
        <v>41275</v>
      </c>
      <c r="D1042" s="1">
        <v>41639</v>
      </c>
      <c r="E1042" t="s">
        <v>986</v>
      </c>
      <c r="G1042" t="s">
        <v>987</v>
      </c>
      <c r="H1042" t="s">
        <v>47</v>
      </c>
      <c r="I1042" t="str">
        <f>"48009"</f>
        <v>48009</v>
      </c>
      <c r="J1042" t="s">
        <v>22</v>
      </c>
      <c r="K1042" t="s">
        <v>30</v>
      </c>
      <c r="L1042" s="2">
        <v>5230151</v>
      </c>
      <c r="M1042" s="2">
        <v>3271235</v>
      </c>
      <c r="N1042" s="2">
        <v>0</v>
      </c>
      <c r="O1042" s="2">
        <v>251103</v>
      </c>
      <c r="P1042" t="s">
        <v>24</v>
      </c>
      <c r="Q1042" t="s">
        <v>24</v>
      </c>
    </row>
    <row r="1043" spans="1:17" x14ac:dyDescent="0.25">
      <c r="A1043" t="s">
        <v>1227</v>
      </c>
      <c r="B1043" t="s">
        <v>1228</v>
      </c>
      <c r="C1043" s="1">
        <v>41275</v>
      </c>
      <c r="D1043" s="1">
        <v>41639</v>
      </c>
      <c r="E1043" t="s">
        <v>1229</v>
      </c>
      <c r="G1043" t="s">
        <v>167</v>
      </c>
      <c r="H1043" t="s">
        <v>62</v>
      </c>
      <c r="I1043" t="str">
        <f>"45236"</f>
        <v>45236</v>
      </c>
      <c r="J1043" t="s">
        <v>22</v>
      </c>
      <c r="K1043" t="s">
        <v>23</v>
      </c>
      <c r="L1043" s="2">
        <v>5230043</v>
      </c>
      <c r="M1043" s="2">
        <v>378350</v>
      </c>
      <c r="N1043" s="2">
        <v>0</v>
      </c>
      <c r="O1043" s="2">
        <v>149484</v>
      </c>
      <c r="P1043" t="s">
        <v>24</v>
      </c>
      <c r="Q1043" t="s">
        <v>24</v>
      </c>
    </row>
    <row r="1044" spans="1:17" x14ac:dyDescent="0.25">
      <c r="A1044" t="s">
        <v>1262</v>
      </c>
      <c r="B1044" t="s">
        <v>1263</v>
      </c>
      <c r="C1044" s="1">
        <v>40909</v>
      </c>
      <c r="D1044" s="1">
        <v>41274</v>
      </c>
      <c r="E1044" t="s">
        <v>1264</v>
      </c>
      <c r="G1044" t="s">
        <v>1265</v>
      </c>
      <c r="H1044" t="s">
        <v>29</v>
      </c>
      <c r="I1044" t="str">
        <f>"60302"</f>
        <v>60302</v>
      </c>
      <c r="J1044" t="s">
        <v>22</v>
      </c>
      <c r="K1044" t="s">
        <v>23</v>
      </c>
      <c r="L1044" s="2">
        <v>5223120</v>
      </c>
      <c r="M1044" s="2">
        <v>2591307</v>
      </c>
      <c r="N1044" s="2">
        <v>0</v>
      </c>
      <c r="O1044" s="2">
        <v>272420</v>
      </c>
      <c r="P1044" t="s">
        <v>24</v>
      </c>
      <c r="Q1044" t="s">
        <v>24</v>
      </c>
    </row>
    <row r="1045" spans="1:17" x14ac:dyDescent="0.25">
      <c r="A1045" t="s">
        <v>7142</v>
      </c>
      <c r="B1045" t="s">
        <v>7143</v>
      </c>
      <c r="C1045" s="1">
        <v>41487</v>
      </c>
      <c r="D1045" s="1">
        <v>41851</v>
      </c>
      <c r="E1045" t="s">
        <v>53</v>
      </c>
      <c r="G1045" t="s">
        <v>28</v>
      </c>
      <c r="H1045" t="s">
        <v>29</v>
      </c>
      <c r="I1045" t="str">
        <f>"60603"</f>
        <v>60603</v>
      </c>
      <c r="J1045" t="s">
        <v>22</v>
      </c>
      <c r="K1045" t="s">
        <v>30</v>
      </c>
      <c r="L1045" s="2">
        <v>5222857</v>
      </c>
      <c r="M1045" s="2">
        <v>3503929</v>
      </c>
      <c r="N1045" s="2">
        <v>0</v>
      </c>
      <c r="O1045" s="2">
        <v>276737</v>
      </c>
      <c r="P1045" t="s">
        <v>24</v>
      </c>
      <c r="Q1045" t="s">
        <v>24</v>
      </c>
    </row>
    <row r="1046" spans="1:17" x14ac:dyDescent="0.25">
      <c r="A1046" t="s">
        <v>5939</v>
      </c>
      <c r="B1046" t="s">
        <v>5940</v>
      </c>
      <c r="C1046" s="1">
        <v>40909</v>
      </c>
      <c r="D1046" s="1">
        <v>41274</v>
      </c>
      <c r="E1046" t="s">
        <v>5941</v>
      </c>
      <c r="G1046" t="s">
        <v>5942</v>
      </c>
      <c r="H1046" t="s">
        <v>47</v>
      </c>
      <c r="I1046" t="str">
        <f>"48176"</f>
        <v>48176</v>
      </c>
      <c r="J1046" t="s">
        <v>22</v>
      </c>
      <c r="K1046" t="s">
        <v>23</v>
      </c>
      <c r="L1046" s="2">
        <v>5220372</v>
      </c>
      <c r="M1046" s="2">
        <v>243177</v>
      </c>
      <c r="N1046" s="2">
        <v>0</v>
      </c>
      <c r="O1046" s="2">
        <v>331626</v>
      </c>
      <c r="P1046" t="s">
        <v>24</v>
      </c>
      <c r="Q1046" t="s">
        <v>24</v>
      </c>
    </row>
    <row r="1047" spans="1:17" x14ac:dyDescent="0.25">
      <c r="A1047" t="s">
        <v>952</v>
      </c>
      <c r="B1047" t="s">
        <v>953</v>
      </c>
      <c r="C1047" s="1">
        <v>41275</v>
      </c>
      <c r="D1047" s="1">
        <v>41639</v>
      </c>
      <c r="E1047" t="s">
        <v>954</v>
      </c>
      <c r="G1047" t="s">
        <v>833</v>
      </c>
      <c r="H1047" t="s">
        <v>29</v>
      </c>
      <c r="I1047" t="str">
        <f>"61701"</f>
        <v>61701</v>
      </c>
      <c r="J1047" t="s">
        <v>22</v>
      </c>
      <c r="K1047" t="s">
        <v>23</v>
      </c>
      <c r="L1047" s="2">
        <v>5212595</v>
      </c>
      <c r="M1047" s="2">
        <v>211471</v>
      </c>
      <c r="N1047" s="2">
        <v>0</v>
      </c>
      <c r="O1047" s="2">
        <v>650</v>
      </c>
      <c r="P1047" t="s">
        <v>24</v>
      </c>
      <c r="Q1047" t="s">
        <v>24</v>
      </c>
    </row>
    <row r="1048" spans="1:17" x14ac:dyDescent="0.25">
      <c r="A1048" t="s">
        <v>816</v>
      </c>
      <c r="B1048" t="s">
        <v>817</v>
      </c>
      <c r="C1048" s="1">
        <v>41091</v>
      </c>
      <c r="D1048" s="1">
        <v>41455</v>
      </c>
      <c r="E1048" t="s">
        <v>818</v>
      </c>
      <c r="G1048" t="s">
        <v>819</v>
      </c>
      <c r="H1048" t="s">
        <v>21</v>
      </c>
      <c r="I1048" t="str">
        <f>"46016"</f>
        <v>46016</v>
      </c>
      <c r="J1048" t="s">
        <v>63</v>
      </c>
      <c r="K1048" t="s">
        <v>23</v>
      </c>
      <c r="L1048" s="2">
        <v>5191477</v>
      </c>
      <c r="M1048" s="2">
        <v>1350679</v>
      </c>
      <c r="N1048" s="2">
        <v>0</v>
      </c>
      <c r="O1048" s="2">
        <v>618909</v>
      </c>
      <c r="P1048" s="2">
        <v>0</v>
      </c>
      <c r="Q1048" s="2">
        <v>0</v>
      </c>
    </row>
    <row r="1049" spans="1:17" x14ac:dyDescent="0.25">
      <c r="A1049" t="s">
        <v>717</v>
      </c>
      <c r="B1049" t="s">
        <v>718</v>
      </c>
      <c r="C1049" s="1">
        <v>41275</v>
      </c>
      <c r="D1049" s="1">
        <v>41639</v>
      </c>
      <c r="E1049" t="s">
        <v>719</v>
      </c>
      <c r="G1049" t="s">
        <v>720</v>
      </c>
      <c r="H1049" t="s">
        <v>42</v>
      </c>
      <c r="I1049" t="str">
        <f>"53074"</f>
        <v>53074</v>
      </c>
      <c r="J1049" t="s">
        <v>22</v>
      </c>
      <c r="K1049" t="s">
        <v>23</v>
      </c>
      <c r="L1049" s="2">
        <v>5187797</v>
      </c>
      <c r="M1049" s="2">
        <v>2813821</v>
      </c>
      <c r="N1049" s="2">
        <v>0</v>
      </c>
      <c r="O1049" s="2">
        <v>258531</v>
      </c>
      <c r="P1049" t="s">
        <v>24</v>
      </c>
      <c r="Q1049" t="s">
        <v>24</v>
      </c>
    </row>
    <row r="1050" spans="1:17" x14ac:dyDescent="0.25">
      <c r="A1050" t="s">
        <v>6037</v>
      </c>
      <c r="B1050" t="s">
        <v>6038</v>
      </c>
      <c r="C1050" s="1">
        <v>41275</v>
      </c>
      <c r="D1050" s="1">
        <v>41639</v>
      </c>
      <c r="E1050" t="s">
        <v>6039</v>
      </c>
      <c r="G1050" t="s">
        <v>337</v>
      </c>
      <c r="H1050" t="s">
        <v>62</v>
      </c>
      <c r="I1050" t="str">
        <f>"44114"</f>
        <v>44114</v>
      </c>
      <c r="J1050" t="s">
        <v>22</v>
      </c>
      <c r="K1050" t="s">
        <v>30</v>
      </c>
      <c r="L1050" s="2">
        <v>5181800</v>
      </c>
      <c r="M1050" s="2">
        <v>1511913</v>
      </c>
      <c r="N1050" s="2">
        <v>0</v>
      </c>
      <c r="O1050" s="2">
        <v>653537</v>
      </c>
      <c r="P1050" t="s">
        <v>24</v>
      </c>
      <c r="Q1050" t="s">
        <v>24</v>
      </c>
    </row>
    <row r="1051" spans="1:17" x14ac:dyDescent="0.25">
      <c r="A1051" t="s">
        <v>2796</v>
      </c>
      <c r="B1051" t="s">
        <v>2797</v>
      </c>
      <c r="C1051" s="1">
        <v>40909</v>
      </c>
      <c r="D1051" s="1">
        <v>41274</v>
      </c>
      <c r="E1051" t="s">
        <v>2798</v>
      </c>
      <c r="G1051" t="s">
        <v>2799</v>
      </c>
      <c r="H1051" t="s">
        <v>29</v>
      </c>
      <c r="I1051" t="str">
        <f>"60091"</f>
        <v>60091</v>
      </c>
      <c r="J1051" t="s">
        <v>22</v>
      </c>
      <c r="K1051" t="s">
        <v>23</v>
      </c>
      <c r="L1051" s="2">
        <v>5169619</v>
      </c>
      <c r="M1051" s="2">
        <v>61966</v>
      </c>
      <c r="N1051" s="2">
        <v>0</v>
      </c>
      <c r="O1051" s="2">
        <v>335053</v>
      </c>
      <c r="P1051" t="s">
        <v>24</v>
      </c>
      <c r="Q1051" t="s">
        <v>24</v>
      </c>
    </row>
    <row r="1052" spans="1:17" x14ac:dyDescent="0.25">
      <c r="A1052" t="s">
        <v>5621</v>
      </c>
      <c r="B1052" t="s">
        <v>5622</v>
      </c>
      <c r="C1052" s="1">
        <v>41275</v>
      </c>
      <c r="D1052" s="1">
        <v>41639</v>
      </c>
      <c r="E1052" t="s">
        <v>5623</v>
      </c>
      <c r="G1052" t="s">
        <v>28</v>
      </c>
      <c r="H1052" t="s">
        <v>29</v>
      </c>
      <c r="I1052" t="str">
        <f>"60606"</f>
        <v>60606</v>
      </c>
      <c r="J1052" t="s">
        <v>22</v>
      </c>
      <c r="K1052" t="s">
        <v>30</v>
      </c>
      <c r="L1052" s="2">
        <v>5160384</v>
      </c>
      <c r="M1052" s="2">
        <v>1020793</v>
      </c>
      <c r="N1052" s="2">
        <v>0</v>
      </c>
      <c r="O1052" s="2">
        <v>215281</v>
      </c>
      <c r="P1052" t="s">
        <v>24</v>
      </c>
      <c r="Q1052" t="s">
        <v>24</v>
      </c>
    </row>
    <row r="1053" spans="1:17" x14ac:dyDescent="0.25">
      <c r="A1053" t="s">
        <v>3740</v>
      </c>
      <c r="B1053" t="s">
        <v>3741</v>
      </c>
      <c r="C1053" s="1">
        <v>41091</v>
      </c>
      <c r="D1053" s="1">
        <v>41455</v>
      </c>
      <c r="E1053" t="s">
        <v>3742</v>
      </c>
      <c r="G1053" t="s">
        <v>1245</v>
      </c>
      <c r="H1053" t="s">
        <v>47</v>
      </c>
      <c r="I1053" t="str">
        <f>"48843"</f>
        <v>48843</v>
      </c>
      <c r="J1053" t="s">
        <v>22</v>
      </c>
      <c r="K1053" t="s">
        <v>23</v>
      </c>
      <c r="L1053" s="2">
        <v>5160088</v>
      </c>
      <c r="M1053" s="2">
        <v>893129</v>
      </c>
      <c r="N1053" s="2">
        <v>0</v>
      </c>
      <c r="O1053" s="2">
        <v>267923</v>
      </c>
      <c r="P1053" t="s">
        <v>24</v>
      </c>
      <c r="Q1053" t="s">
        <v>24</v>
      </c>
    </row>
    <row r="1054" spans="1:17" x14ac:dyDescent="0.25">
      <c r="A1054" t="s">
        <v>238</v>
      </c>
      <c r="B1054" t="s">
        <v>239</v>
      </c>
      <c r="C1054" s="1">
        <v>41091</v>
      </c>
      <c r="D1054" s="1">
        <v>41455</v>
      </c>
      <c r="E1054" t="s">
        <v>240</v>
      </c>
      <c r="F1054" t="s">
        <v>241</v>
      </c>
      <c r="G1054" t="s">
        <v>242</v>
      </c>
      <c r="H1054" t="s">
        <v>21</v>
      </c>
      <c r="I1054" t="str">
        <f>"47137"</f>
        <v>47137</v>
      </c>
      <c r="J1054" t="s">
        <v>63</v>
      </c>
      <c r="K1054" t="s">
        <v>64</v>
      </c>
      <c r="L1054" s="2">
        <v>5159333</v>
      </c>
      <c r="M1054" s="2">
        <v>337382</v>
      </c>
      <c r="N1054" s="2">
        <v>82125</v>
      </c>
      <c r="O1054" s="2">
        <v>323539</v>
      </c>
      <c r="P1054" s="2">
        <v>60788</v>
      </c>
      <c r="Q1054" s="2">
        <v>19052</v>
      </c>
    </row>
    <row r="1055" spans="1:17" x14ac:dyDescent="0.25">
      <c r="A1055" t="s">
        <v>350</v>
      </c>
      <c r="B1055" t="s">
        <v>351</v>
      </c>
      <c r="C1055" s="1">
        <v>41275</v>
      </c>
      <c r="D1055" s="1">
        <v>41639</v>
      </c>
      <c r="E1055" t="s">
        <v>352</v>
      </c>
      <c r="G1055" t="s">
        <v>353</v>
      </c>
      <c r="H1055" t="s">
        <v>62</v>
      </c>
      <c r="I1055" t="str">
        <f>"43205"</f>
        <v>43205</v>
      </c>
      <c r="J1055" t="s">
        <v>63</v>
      </c>
      <c r="K1055" t="s">
        <v>79</v>
      </c>
      <c r="L1055" s="2">
        <v>5142963</v>
      </c>
      <c r="M1055" s="2">
        <v>1038013</v>
      </c>
      <c r="N1055" s="2">
        <v>215000</v>
      </c>
      <c r="O1055" s="2">
        <v>513128</v>
      </c>
      <c r="P1055" s="2">
        <v>27128</v>
      </c>
      <c r="Q1055" s="2">
        <v>0</v>
      </c>
    </row>
    <row r="1056" spans="1:17" x14ac:dyDescent="0.25">
      <c r="A1056" t="s">
        <v>5649</v>
      </c>
      <c r="B1056" t="s">
        <v>5650</v>
      </c>
      <c r="C1056" s="1">
        <v>41275</v>
      </c>
      <c r="D1056" s="1">
        <v>41639</v>
      </c>
      <c r="E1056" t="s">
        <v>5651</v>
      </c>
      <c r="G1056" t="s">
        <v>659</v>
      </c>
      <c r="H1056" t="s">
        <v>47</v>
      </c>
      <c r="I1056" t="str">
        <f>"48034"</f>
        <v>48034</v>
      </c>
      <c r="J1056" t="s">
        <v>22</v>
      </c>
      <c r="K1056" t="s">
        <v>30</v>
      </c>
      <c r="L1056" s="2">
        <v>5142913</v>
      </c>
      <c r="M1056" s="2">
        <v>582026</v>
      </c>
      <c r="N1056" s="2">
        <v>0</v>
      </c>
      <c r="O1056" s="2">
        <v>434079</v>
      </c>
      <c r="P1056" t="s">
        <v>24</v>
      </c>
      <c r="Q1056" t="s">
        <v>24</v>
      </c>
    </row>
    <row r="1057" spans="1:17" x14ac:dyDescent="0.25">
      <c r="A1057" t="s">
        <v>4463</v>
      </c>
      <c r="B1057" t="s">
        <v>4464</v>
      </c>
      <c r="C1057" s="1">
        <v>41275</v>
      </c>
      <c r="D1057" s="1">
        <v>41639</v>
      </c>
      <c r="E1057" t="s">
        <v>4465</v>
      </c>
      <c r="G1057" t="s">
        <v>20</v>
      </c>
      <c r="H1057" t="s">
        <v>21</v>
      </c>
      <c r="I1057" t="str">
        <f>"46224"</f>
        <v>46224</v>
      </c>
      <c r="J1057" t="s">
        <v>22</v>
      </c>
      <c r="K1057" t="s">
        <v>30</v>
      </c>
      <c r="L1057" s="2">
        <v>5142433</v>
      </c>
      <c r="M1057" s="2">
        <v>1749788</v>
      </c>
      <c r="N1057" s="2">
        <v>0</v>
      </c>
      <c r="O1057" s="2">
        <v>172259</v>
      </c>
      <c r="P1057" t="s">
        <v>24</v>
      </c>
      <c r="Q1057" t="s">
        <v>24</v>
      </c>
    </row>
    <row r="1058" spans="1:17" x14ac:dyDescent="0.25">
      <c r="A1058" t="s">
        <v>2313</v>
      </c>
      <c r="B1058" t="s">
        <v>2314</v>
      </c>
      <c r="C1058" s="1">
        <v>41275</v>
      </c>
      <c r="D1058" s="1">
        <v>41639</v>
      </c>
      <c r="E1058" t="s">
        <v>2315</v>
      </c>
      <c r="G1058" t="s">
        <v>353</v>
      </c>
      <c r="H1058" t="s">
        <v>21</v>
      </c>
      <c r="I1058" t="str">
        <f>"47201"</f>
        <v>47201</v>
      </c>
      <c r="J1058" t="s">
        <v>22</v>
      </c>
      <c r="K1058" t="s">
        <v>30</v>
      </c>
      <c r="L1058" s="2">
        <v>5142003</v>
      </c>
      <c r="M1058" s="2">
        <v>1022684</v>
      </c>
      <c r="N1058" s="2">
        <v>0</v>
      </c>
      <c r="O1058" s="2">
        <v>309258</v>
      </c>
      <c r="P1058" t="s">
        <v>24</v>
      </c>
      <c r="Q1058" t="s">
        <v>24</v>
      </c>
    </row>
    <row r="1059" spans="1:17" x14ac:dyDescent="0.25">
      <c r="A1059" t="s">
        <v>1851</v>
      </c>
      <c r="B1059" t="s">
        <v>1852</v>
      </c>
      <c r="C1059" s="1">
        <v>41091</v>
      </c>
      <c r="D1059" s="1">
        <v>41455</v>
      </c>
      <c r="E1059" t="s">
        <v>469</v>
      </c>
      <c r="G1059" t="s">
        <v>1853</v>
      </c>
      <c r="H1059" t="s">
        <v>29</v>
      </c>
      <c r="I1059" t="str">
        <f>"62305"</f>
        <v>62305</v>
      </c>
      <c r="J1059" t="s">
        <v>63</v>
      </c>
      <c r="K1059" t="s">
        <v>23</v>
      </c>
      <c r="L1059" s="2">
        <v>5141347</v>
      </c>
      <c r="M1059" s="2">
        <v>682489</v>
      </c>
      <c r="N1059" s="2">
        <v>0</v>
      </c>
      <c r="O1059" s="2">
        <v>99578</v>
      </c>
      <c r="P1059" s="2">
        <v>82015</v>
      </c>
      <c r="Q1059" s="2">
        <v>5226</v>
      </c>
    </row>
    <row r="1060" spans="1:17" x14ac:dyDescent="0.25">
      <c r="A1060" t="s">
        <v>7384</v>
      </c>
      <c r="B1060" t="s">
        <v>7385</v>
      </c>
      <c r="C1060" s="1">
        <v>41275</v>
      </c>
      <c r="D1060" s="1">
        <v>41639</v>
      </c>
      <c r="E1060" t="s">
        <v>7386</v>
      </c>
      <c r="G1060" t="s">
        <v>307</v>
      </c>
      <c r="H1060" t="s">
        <v>29</v>
      </c>
      <c r="I1060" t="str">
        <f>"60093"</f>
        <v>60093</v>
      </c>
      <c r="J1060" t="s">
        <v>22</v>
      </c>
      <c r="K1060" t="s">
        <v>23</v>
      </c>
      <c r="L1060" s="2">
        <v>5132302</v>
      </c>
      <c r="M1060" s="2">
        <v>3848425</v>
      </c>
      <c r="N1060" s="2">
        <v>1836</v>
      </c>
      <c r="O1060" s="2">
        <v>3202602</v>
      </c>
      <c r="P1060" t="s">
        <v>24</v>
      </c>
      <c r="Q1060" t="s">
        <v>24</v>
      </c>
    </row>
    <row r="1061" spans="1:17" x14ac:dyDescent="0.25">
      <c r="A1061" t="s">
        <v>3711</v>
      </c>
      <c r="B1061" t="s">
        <v>3712</v>
      </c>
      <c r="C1061" s="1">
        <v>41275</v>
      </c>
      <c r="D1061" s="1">
        <v>41639</v>
      </c>
      <c r="E1061" t="s">
        <v>310</v>
      </c>
      <c r="G1061" t="s">
        <v>311</v>
      </c>
      <c r="H1061" t="s">
        <v>21</v>
      </c>
      <c r="I1061" t="str">
        <f>"46544"</f>
        <v>46544</v>
      </c>
      <c r="J1061" t="s">
        <v>22</v>
      </c>
      <c r="K1061" t="s">
        <v>91</v>
      </c>
      <c r="L1061" s="2">
        <v>5131736</v>
      </c>
      <c r="M1061" s="2">
        <v>596047</v>
      </c>
      <c r="N1061" s="2">
        <v>0</v>
      </c>
      <c r="O1061" s="2">
        <v>224323</v>
      </c>
      <c r="P1061" t="s">
        <v>24</v>
      </c>
      <c r="Q1061" t="s">
        <v>24</v>
      </c>
    </row>
    <row r="1062" spans="1:17" x14ac:dyDescent="0.25">
      <c r="A1062" t="s">
        <v>1629</v>
      </c>
      <c r="B1062" t="s">
        <v>1630</v>
      </c>
      <c r="C1062" s="1">
        <v>41275</v>
      </c>
      <c r="D1062" s="1">
        <v>41639</v>
      </c>
      <c r="E1062" t="s">
        <v>1631</v>
      </c>
      <c r="G1062" t="s">
        <v>28</v>
      </c>
      <c r="H1062" t="s">
        <v>29</v>
      </c>
      <c r="I1062" t="str">
        <f>"60606"</f>
        <v>60606</v>
      </c>
      <c r="J1062" t="s">
        <v>22</v>
      </c>
      <c r="K1062" t="s">
        <v>23</v>
      </c>
      <c r="L1062" s="2">
        <v>5125186</v>
      </c>
      <c r="M1062" s="2">
        <v>2244120</v>
      </c>
      <c r="N1062" s="2">
        <v>0</v>
      </c>
      <c r="O1062" s="2">
        <v>238143</v>
      </c>
      <c r="P1062" t="s">
        <v>24</v>
      </c>
      <c r="Q1062" t="s">
        <v>24</v>
      </c>
    </row>
    <row r="1063" spans="1:17" x14ac:dyDescent="0.25">
      <c r="A1063" t="s">
        <v>6850</v>
      </c>
      <c r="B1063" t="s">
        <v>6851</v>
      </c>
      <c r="C1063" s="1">
        <v>41275</v>
      </c>
      <c r="D1063" s="1">
        <v>41639</v>
      </c>
      <c r="E1063" t="s">
        <v>6852</v>
      </c>
      <c r="G1063" t="s">
        <v>741</v>
      </c>
      <c r="H1063" t="s">
        <v>42</v>
      </c>
      <c r="I1063" t="str">
        <f>"54301"</f>
        <v>54301</v>
      </c>
      <c r="J1063" t="s">
        <v>22</v>
      </c>
      <c r="K1063" t="s">
        <v>30</v>
      </c>
      <c r="L1063" s="2">
        <v>5119965</v>
      </c>
      <c r="M1063" s="2">
        <v>3362099</v>
      </c>
      <c r="N1063" s="2">
        <v>0</v>
      </c>
      <c r="O1063" s="2">
        <v>222490</v>
      </c>
      <c r="P1063" t="s">
        <v>24</v>
      </c>
      <c r="Q1063" t="s">
        <v>24</v>
      </c>
    </row>
    <row r="1064" spans="1:17" x14ac:dyDescent="0.25">
      <c r="A1064" t="s">
        <v>5334</v>
      </c>
      <c r="B1064" t="s">
        <v>5335</v>
      </c>
      <c r="C1064" s="1">
        <v>41275</v>
      </c>
      <c r="D1064" s="1">
        <v>41639</v>
      </c>
      <c r="E1064" t="s">
        <v>5336</v>
      </c>
      <c r="G1064" t="s">
        <v>940</v>
      </c>
      <c r="H1064" t="s">
        <v>42</v>
      </c>
      <c r="I1064" t="str">
        <f>"53027"</f>
        <v>53027</v>
      </c>
      <c r="J1064" t="s">
        <v>22</v>
      </c>
      <c r="K1064" t="s">
        <v>23</v>
      </c>
      <c r="L1064" s="2">
        <v>5108864</v>
      </c>
      <c r="M1064" s="2">
        <v>1562931</v>
      </c>
      <c r="N1064" s="2">
        <v>0</v>
      </c>
      <c r="O1064" s="2">
        <v>283199</v>
      </c>
      <c r="P1064" t="s">
        <v>24</v>
      </c>
      <c r="Q1064" t="s">
        <v>24</v>
      </c>
    </row>
    <row r="1065" spans="1:17" x14ac:dyDescent="0.25">
      <c r="A1065" t="s">
        <v>5035</v>
      </c>
      <c r="B1065" t="s">
        <v>5036</v>
      </c>
      <c r="C1065" s="1">
        <v>41275</v>
      </c>
      <c r="D1065" s="1">
        <v>41639</v>
      </c>
      <c r="E1065" t="s">
        <v>5037</v>
      </c>
      <c r="G1065" t="s">
        <v>1818</v>
      </c>
      <c r="H1065" t="s">
        <v>62</v>
      </c>
      <c r="I1065" t="str">
        <f>"44236"</f>
        <v>44236</v>
      </c>
      <c r="J1065" t="s">
        <v>63</v>
      </c>
      <c r="K1065" t="s">
        <v>79</v>
      </c>
      <c r="L1065" s="2">
        <v>5108858</v>
      </c>
      <c r="M1065" s="2">
        <v>1773982</v>
      </c>
      <c r="N1065" s="2">
        <v>780474</v>
      </c>
      <c r="O1065" s="2">
        <v>997368</v>
      </c>
      <c r="P1065" s="2">
        <v>87186</v>
      </c>
      <c r="Q1065" s="2">
        <v>74280</v>
      </c>
    </row>
    <row r="1066" spans="1:17" x14ac:dyDescent="0.25">
      <c r="A1066" t="s">
        <v>3285</v>
      </c>
      <c r="B1066" t="s">
        <v>3286</v>
      </c>
      <c r="C1066" s="1">
        <v>41091</v>
      </c>
      <c r="D1066" s="1">
        <v>41455</v>
      </c>
      <c r="E1066" t="s">
        <v>2256</v>
      </c>
      <c r="G1066" t="s">
        <v>337</v>
      </c>
      <c r="H1066" t="s">
        <v>62</v>
      </c>
      <c r="I1066" t="str">
        <f>"44122"</f>
        <v>44122</v>
      </c>
      <c r="J1066" t="s">
        <v>63</v>
      </c>
      <c r="K1066" t="s">
        <v>23</v>
      </c>
      <c r="L1066" s="2">
        <v>5101376</v>
      </c>
      <c r="M1066" s="2">
        <v>208173</v>
      </c>
      <c r="N1066" s="2">
        <v>129150</v>
      </c>
      <c r="O1066" s="2">
        <v>43212</v>
      </c>
      <c r="P1066" s="2">
        <v>19212</v>
      </c>
      <c r="Q1066" s="2">
        <v>0</v>
      </c>
    </row>
    <row r="1067" spans="1:17" x14ac:dyDescent="0.25">
      <c r="A1067" t="s">
        <v>1778</v>
      </c>
      <c r="B1067" t="s">
        <v>1779</v>
      </c>
      <c r="C1067" s="1">
        <v>41456</v>
      </c>
      <c r="D1067" s="1">
        <v>41820</v>
      </c>
      <c r="E1067" t="s">
        <v>1780</v>
      </c>
      <c r="G1067" t="s">
        <v>1781</v>
      </c>
      <c r="H1067" t="s">
        <v>62</v>
      </c>
      <c r="I1067" t="str">
        <f>"45424"</f>
        <v>45424</v>
      </c>
      <c r="J1067" t="s">
        <v>63</v>
      </c>
      <c r="K1067" t="s">
        <v>23</v>
      </c>
      <c r="L1067" s="2">
        <v>5096558</v>
      </c>
      <c r="M1067" s="2">
        <v>867810</v>
      </c>
      <c r="N1067" s="2">
        <v>0</v>
      </c>
      <c r="O1067" s="2">
        <v>531889</v>
      </c>
      <c r="P1067" s="2">
        <v>86325</v>
      </c>
      <c r="Q1067" s="2">
        <v>0</v>
      </c>
    </row>
    <row r="1068" spans="1:17" x14ac:dyDescent="0.25">
      <c r="A1068" t="s">
        <v>2505</v>
      </c>
      <c r="B1068" t="s">
        <v>2506</v>
      </c>
      <c r="C1068" s="1">
        <v>41275</v>
      </c>
      <c r="D1068" s="1">
        <v>41639</v>
      </c>
      <c r="E1068" t="s">
        <v>2507</v>
      </c>
      <c r="G1068" t="s">
        <v>751</v>
      </c>
      <c r="H1068" t="s">
        <v>62</v>
      </c>
      <c r="I1068" t="str">
        <f>"44144"</f>
        <v>44144</v>
      </c>
      <c r="J1068" t="s">
        <v>22</v>
      </c>
      <c r="K1068" t="s">
        <v>23</v>
      </c>
      <c r="L1068" s="2">
        <v>5096469</v>
      </c>
      <c r="M1068" s="2">
        <v>695100</v>
      </c>
      <c r="N1068" s="2">
        <v>0</v>
      </c>
      <c r="O1068" s="2">
        <v>264517</v>
      </c>
      <c r="P1068" t="s">
        <v>24</v>
      </c>
      <c r="Q1068" t="s">
        <v>24</v>
      </c>
    </row>
    <row r="1069" spans="1:17" x14ac:dyDescent="0.25">
      <c r="A1069" t="s">
        <v>1443</v>
      </c>
      <c r="B1069" t="s">
        <v>1444</v>
      </c>
      <c r="C1069" s="1">
        <v>41275</v>
      </c>
      <c r="D1069" s="1">
        <v>41639</v>
      </c>
      <c r="E1069" t="s">
        <v>1445</v>
      </c>
      <c r="G1069" t="s">
        <v>1446</v>
      </c>
      <c r="H1069" t="s">
        <v>47</v>
      </c>
      <c r="I1069" t="str">
        <f>"49085"</f>
        <v>49085</v>
      </c>
      <c r="J1069" t="s">
        <v>22</v>
      </c>
      <c r="K1069" t="s">
        <v>30</v>
      </c>
      <c r="L1069" s="2">
        <v>5091170</v>
      </c>
      <c r="M1069" s="2">
        <v>543389</v>
      </c>
      <c r="N1069" s="2">
        <v>0</v>
      </c>
      <c r="O1069" s="2">
        <v>760299</v>
      </c>
      <c r="P1069" t="s">
        <v>24</v>
      </c>
      <c r="Q1069" t="s">
        <v>24</v>
      </c>
    </row>
    <row r="1070" spans="1:17" x14ac:dyDescent="0.25">
      <c r="A1070" t="s">
        <v>1758</v>
      </c>
      <c r="B1070" t="s">
        <v>1759</v>
      </c>
      <c r="C1070" s="1">
        <v>41456</v>
      </c>
      <c r="D1070" s="1">
        <v>41820</v>
      </c>
      <c r="E1070" t="s">
        <v>1760</v>
      </c>
      <c r="G1070" t="s">
        <v>1761</v>
      </c>
      <c r="H1070" t="s">
        <v>42</v>
      </c>
      <c r="I1070" t="str">
        <f>"53094"</f>
        <v>53094</v>
      </c>
      <c r="J1070" t="s">
        <v>63</v>
      </c>
      <c r="K1070" t="s">
        <v>64</v>
      </c>
      <c r="L1070" s="2">
        <v>5089449</v>
      </c>
      <c r="M1070" s="2">
        <v>374848</v>
      </c>
      <c r="N1070" s="2">
        <v>35364</v>
      </c>
      <c r="O1070" s="2">
        <v>201430</v>
      </c>
      <c r="P1070" s="2">
        <v>34858</v>
      </c>
      <c r="Q1070" s="2">
        <v>0</v>
      </c>
    </row>
    <row r="1071" spans="1:17" x14ac:dyDescent="0.25">
      <c r="A1071" t="s">
        <v>2320</v>
      </c>
      <c r="B1071" t="s">
        <v>2321</v>
      </c>
      <c r="C1071" s="1">
        <v>41275</v>
      </c>
      <c r="D1071" s="1">
        <v>41639</v>
      </c>
      <c r="E1071" t="s">
        <v>2322</v>
      </c>
      <c r="G1071" t="s">
        <v>2323</v>
      </c>
      <c r="H1071" t="s">
        <v>21</v>
      </c>
      <c r="I1071" t="str">
        <f>"47591"</f>
        <v>47591</v>
      </c>
      <c r="J1071" t="s">
        <v>63</v>
      </c>
      <c r="K1071" t="s">
        <v>91</v>
      </c>
      <c r="L1071" s="2">
        <v>5081926</v>
      </c>
      <c r="M1071" s="2">
        <v>998286</v>
      </c>
      <c r="N1071" s="2">
        <v>321</v>
      </c>
      <c r="O1071" s="2">
        <v>496274</v>
      </c>
      <c r="P1071" s="2">
        <v>388728</v>
      </c>
      <c r="Q1071" s="2">
        <v>98572</v>
      </c>
    </row>
    <row r="1072" spans="1:17" x14ac:dyDescent="0.25">
      <c r="A1072" t="s">
        <v>5183</v>
      </c>
      <c r="B1072" t="s">
        <v>5184</v>
      </c>
      <c r="C1072" s="1">
        <v>41275</v>
      </c>
      <c r="D1072" s="1">
        <v>41639</v>
      </c>
      <c r="E1072" t="s">
        <v>5185</v>
      </c>
      <c r="G1072" t="s">
        <v>3775</v>
      </c>
      <c r="H1072" t="s">
        <v>62</v>
      </c>
      <c r="I1072" t="str">
        <f>"44023"</f>
        <v>44023</v>
      </c>
      <c r="J1072" t="s">
        <v>63</v>
      </c>
      <c r="K1072" t="s">
        <v>91</v>
      </c>
      <c r="L1072" s="2">
        <v>5080261</v>
      </c>
      <c r="M1072" s="2">
        <v>1170464</v>
      </c>
      <c r="N1072" s="2">
        <v>0</v>
      </c>
      <c r="O1072" s="2">
        <v>183416</v>
      </c>
      <c r="P1072" s="2">
        <v>0</v>
      </c>
      <c r="Q1072" s="2">
        <v>0</v>
      </c>
    </row>
    <row r="1073" spans="1:17" x14ac:dyDescent="0.25">
      <c r="A1073" t="s">
        <v>6372</v>
      </c>
      <c r="B1073" t="s">
        <v>6373</v>
      </c>
      <c r="C1073" s="1">
        <v>41275</v>
      </c>
      <c r="D1073" s="1">
        <v>41639</v>
      </c>
      <c r="E1073" t="s">
        <v>142</v>
      </c>
      <c r="G1073" t="s">
        <v>143</v>
      </c>
      <c r="H1073" t="s">
        <v>47</v>
      </c>
      <c r="I1073" t="str">
        <f>"48275"</f>
        <v>48275</v>
      </c>
      <c r="J1073" t="s">
        <v>22</v>
      </c>
      <c r="K1073" t="s">
        <v>23</v>
      </c>
      <c r="L1073" s="2">
        <v>5075748</v>
      </c>
      <c r="M1073" s="2">
        <v>3660893</v>
      </c>
      <c r="N1073" s="2">
        <v>0</v>
      </c>
      <c r="O1073" s="2">
        <v>1017145</v>
      </c>
      <c r="P1073" t="s">
        <v>24</v>
      </c>
      <c r="Q1073" t="s">
        <v>24</v>
      </c>
    </row>
    <row r="1074" spans="1:17" x14ac:dyDescent="0.25">
      <c r="A1074" t="s">
        <v>513</v>
      </c>
      <c r="B1074" t="s">
        <v>514</v>
      </c>
      <c r="C1074" s="1">
        <v>41091</v>
      </c>
      <c r="D1074" s="1">
        <v>41455</v>
      </c>
      <c r="E1074" t="s">
        <v>515</v>
      </c>
      <c r="F1074" t="s">
        <v>516</v>
      </c>
      <c r="G1074" t="s">
        <v>517</v>
      </c>
      <c r="H1074" t="s">
        <v>62</v>
      </c>
      <c r="I1074" t="str">
        <f>"45423"</f>
        <v>45423</v>
      </c>
      <c r="J1074" t="s">
        <v>63</v>
      </c>
      <c r="K1074" t="s">
        <v>64</v>
      </c>
      <c r="L1074" s="2">
        <v>5065698</v>
      </c>
      <c r="M1074" s="2">
        <v>306078</v>
      </c>
      <c r="N1074" s="2">
        <v>4600</v>
      </c>
      <c r="O1074" s="2">
        <v>256153</v>
      </c>
      <c r="P1074" s="2">
        <v>80909</v>
      </c>
      <c r="Q1074" s="2">
        <v>0</v>
      </c>
    </row>
    <row r="1075" spans="1:17" x14ac:dyDescent="0.25">
      <c r="A1075" t="s">
        <v>7078</v>
      </c>
      <c r="B1075" t="s">
        <v>7079</v>
      </c>
      <c r="C1075" s="1">
        <v>41275</v>
      </c>
      <c r="D1075" s="1">
        <v>41639</v>
      </c>
      <c r="E1075" t="s">
        <v>7080</v>
      </c>
      <c r="G1075" t="s">
        <v>7081</v>
      </c>
      <c r="H1075" t="s">
        <v>47</v>
      </c>
      <c r="I1075" t="str">
        <f>"49315"</f>
        <v>49315</v>
      </c>
      <c r="J1075" t="s">
        <v>22</v>
      </c>
      <c r="K1075" t="s">
        <v>23</v>
      </c>
      <c r="L1075" s="2">
        <v>5061824</v>
      </c>
      <c r="M1075" s="2">
        <v>1551392</v>
      </c>
      <c r="N1075" s="2">
        <v>0</v>
      </c>
      <c r="O1075" s="2">
        <v>271719</v>
      </c>
      <c r="P1075" t="s">
        <v>24</v>
      </c>
      <c r="Q1075" t="s">
        <v>24</v>
      </c>
    </row>
    <row r="1076" spans="1:17" x14ac:dyDescent="0.25">
      <c r="A1076" t="s">
        <v>80</v>
      </c>
      <c r="B1076" t="s">
        <v>81</v>
      </c>
      <c r="C1076" s="1">
        <v>41365</v>
      </c>
      <c r="D1076" s="1">
        <v>41729</v>
      </c>
      <c r="E1076" t="s">
        <v>82</v>
      </c>
      <c r="G1076" t="s">
        <v>28</v>
      </c>
      <c r="H1076" t="s">
        <v>29</v>
      </c>
      <c r="I1076" t="str">
        <f>"60611"</f>
        <v>60611</v>
      </c>
      <c r="J1076" t="s">
        <v>22</v>
      </c>
      <c r="K1076" t="s">
        <v>30</v>
      </c>
      <c r="L1076" s="2">
        <v>5059223</v>
      </c>
      <c r="M1076" s="2">
        <v>388403</v>
      </c>
      <c r="N1076" s="2">
        <v>0</v>
      </c>
      <c r="O1076" s="2">
        <v>217161</v>
      </c>
      <c r="P1076" t="s">
        <v>24</v>
      </c>
      <c r="Q1076" t="s">
        <v>24</v>
      </c>
    </row>
    <row r="1077" spans="1:17" x14ac:dyDescent="0.25">
      <c r="A1077" t="s">
        <v>7584</v>
      </c>
      <c r="B1077" t="s">
        <v>7585</v>
      </c>
      <c r="C1077" s="1">
        <v>41275</v>
      </c>
      <c r="D1077" s="1">
        <v>41639</v>
      </c>
      <c r="E1077" t="s">
        <v>7586</v>
      </c>
      <c r="G1077" t="s">
        <v>7587</v>
      </c>
      <c r="H1077" t="s">
        <v>42</v>
      </c>
      <c r="I1077" t="str">
        <f>"53916"</f>
        <v>53916</v>
      </c>
      <c r="J1077" t="s">
        <v>22</v>
      </c>
      <c r="K1077" t="s">
        <v>30</v>
      </c>
      <c r="L1077" s="2">
        <v>5056414</v>
      </c>
      <c r="M1077" s="2">
        <v>1805335</v>
      </c>
      <c r="N1077" s="2">
        <v>365000</v>
      </c>
      <c r="O1077" s="2">
        <v>176807</v>
      </c>
      <c r="P1077" t="s">
        <v>24</v>
      </c>
      <c r="Q1077" t="s">
        <v>24</v>
      </c>
    </row>
    <row r="1078" spans="1:17" x14ac:dyDescent="0.25">
      <c r="A1078" t="s">
        <v>7490</v>
      </c>
      <c r="B1078" t="s">
        <v>7491</v>
      </c>
      <c r="C1078" s="1">
        <v>41275</v>
      </c>
      <c r="D1078" s="1">
        <v>41639</v>
      </c>
      <c r="E1078" t="s">
        <v>750</v>
      </c>
      <c r="G1078" t="s">
        <v>751</v>
      </c>
      <c r="H1078" t="s">
        <v>62</v>
      </c>
      <c r="I1078" t="str">
        <f>"44144"</f>
        <v>44144</v>
      </c>
      <c r="J1078" t="s">
        <v>22</v>
      </c>
      <c r="K1078" t="s">
        <v>23</v>
      </c>
      <c r="L1078" s="2">
        <v>5042584</v>
      </c>
      <c r="M1078" s="2">
        <v>1899629</v>
      </c>
      <c r="N1078" s="2">
        <v>0</v>
      </c>
      <c r="O1078" s="2">
        <v>264123</v>
      </c>
      <c r="P1078" t="s">
        <v>24</v>
      </c>
      <c r="Q1078" t="s">
        <v>24</v>
      </c>
    </row>
    <row r="1079" spans="1:17" x14ac:dyDescent="0.25">
      <c r="A1079" t="s">
        <v>6001</v>
      </c>
      <c r="B1079" t="s">
        <v>6002</v>
      </c>
      <c r="C1079" s="1">
        <v>41275</v>
      </c>
      <c r="D1079" s="1">
        <v>41639</v>
      </c>
      <c r="E1079" t="s">
        <v>6003</v>
      </c>
      <c r="G1079" t="s">
        <v>6004</v>
      </c>
      <c r="H1079" t="s">
        <v>42</v>
      </c>
      <c r="I1079" t="str">
        <f>"53095"</f>
        <v>53095</v>
      </c>
      <c r="J1079" t="s">
        <v>22</v>
      </c>
      <c r="K1079" t="s">
        <v>23</v>
      </c>
      <c r="L1079" s="2">
        <v>5031918</v>
      </c>
      <c r="M1079" s="2">
        <v>2651776</v>
      </c>
      <c r="N1079" s="2">
        <v>0</v>
      </c>
      <c r="O1079" s="2">
        <v>310404</v>
      </c>
      <c r="P1079" t="s">
        <v>24</v>
      </c>
      <c r="Q1079" t="s">
        <v>24</v>
      </c>
    </row>
    <row r="1080" spans="1:17" x14ac:dyDescent="0.25">
      <c r="A1080" t="s">
        <v>7775</v>
      </c>
      <c r="B1080" t="s">
        <v>7776</v>
      </c>
      <c r="C1080" s="1">
        <v>41275</v>
      </c>
      <c r="D1080" s="1">
        <v>41639</v>
      </c>
      <c r="E1080" t="s">
        <v>7777</v>
      </c>
      <c r="G1080" t="s">
        <v>432</v>
      </c>
      <c r="H1080" t="s">
        <v>47</v>
      </c>
      <c r="I1080" t="str">
        <f>"49423"</f>
        <v>49423</v>
      </c>
      <c r="J1080" t="s">
        <v>22</v>
      </c>
      <c r="K1080" t="s">
        <v>23</v>
      </c>
      <c r="L1080" s="2">
        <v>5030146</v>
      </c>
      <c r="M1080" s="2">
        <v>1145218</v>
      </c>
      <c r="N1080" s="2">
        <v>0</v>
      </c>
      <c r="O1080" s="2">
        <v>214260</v>
      </c>
      <c r="P1080" t="s">
        <v>24</v>
      </c>
      <c r="Q1080" t="s">
        <v>24</v>
      </c>
    </row>
    <row r="1081" spans="1:17" x14ac:dyDescent="0.25">
      <c r="A1081" t="s">
        <v>5531</v>
      </c>
      <c r="B1081" t="s">
        <v>5532</v>
      </c>
      <c r="C1081" s="1">
        <v>41275</v>
      </c>
      <c r="D1081" s="1">
        <v>41639</v>
      </c>
      <c r="E1081" t="s">
        <v>5533</v>
      </c>
      <c r="G1081" t="s">
        <v>1920</v>
      </c>
      <c r="H1081" t="s">
        <v>47</v>
      </c>
      <c r="I1081" t="str">
        <f>"48334"</f>
        <v>48334</v>
      </c>
      <c r="J1081" t="s">
        <v>22</v>
      </c>
      <c r="K1081" t="s">
        <v>30</v>
      </c>
      <c r="L1081" s="2">
        <v>5027594</v>
      </c>
      <c r="M1081" s="2">
        <v>4419058</v>
      </c>
      <c r="N1081" s="2">
        <v>0</v>
      </c>
      <c r="O1081" s="2">
        <v>114000</v>
      </c>
      <c r="P1081" t="s">
        <v>24</v>
      </c>
      <c r="Q1081" t="s">
        <v>24</v>
      </c>
    </row>
    <row r="1082" spans="1:17" x14ac:dyDescent="0.25">
      <c r="A1082" t="s">
        <v>3861</v>
      </c>
      <c r="B1082" t="s">
        <v>3862</v>
      </c>
      <c r="C1082" s="1">
        <v>41275</v>
      </c>
      <c r="D1082" s="1">
        <v>41639</v>
      </c>
      <c r="E1082" t="s">
        <v>3863</v>
      </c>
      <c r="G1082" t="s">
        <v>3864</v>
      </c>
      <c r="H1082" t="s">
        <v>42</v>
      </c>
      <c r="I1082" t="str">
        <f>"54473"</f>
        <v>54473</v>
      </c>
      <c r="J1082" t="s">
        <v>63</v>
      </c>
      <c r="K1082" t="s">
        <v>79</v>
      </c>
      <c r="L1082" s="2">
        <v>5027227</v>
      </c>
      <c r="M1082" s="2">
        <v>667199</v>
      </c>
      <c r="N1082" s="2">
        <v>45979</v>
      </c>
      <c r="O1082" s="2">
        <v>204660</v>
      </c>
      <c r="P1082" s="2">
        <v>76871</v>
      </c>
      <c r="Q1082" s="2">
        <v>7689</v>
      </c>
    </row>
    <row r="1083" spans="1:17" x14ac:dyDescent="0.25">
      <c r="A1083" t="s">
        <v>2085</v>
      </c>
      <c r="B1083" t="s">
        <v>2086</v>
      </c>
      <c r="C1083" s="1">
        <v>41275</v>
      </c>
      <c r="D1083" s="1">
        <v>41639</v>
      </c>
      <c r="E1083" t="s">
        <v>2087</v>
      </c>
      <c r="G1083" t="s">
        <v>28</v>
      </c>
      <c r="H1083" t="s">
        <v>29</v>
      </c>
      <c r="I1083" t="str">
        <f>"60601"</f>
        <v>60601</v>
      </c>
      <c r="J1083" t="s">
        <v>22</v>
      </c>
      <c r="K1083" t="s">
        <v>30</v>
      </c>
      <c r="L1083" s="2">
        <v>5027212</v>
      </c>
      <c r="M1083" s="2">
        <v>1852437</v>
      </c>
      <c r="N1083" s="2">
        <v>0</v>
      </c>
      <c r="O1083" s="2">
        <v>396525</v>
      </c>
      <c r="P1083" t="s">
        <v>24</v>
      </c>
      <c r="Q1083" t="s">
        <v>24</v>
      </c>
    </row>
    <row r="1084" spans="1:17" x14ac:dyDescent="0.25">
      <c r="A1084" t="s">
        <v>1751</v>
      </c>
      <c r="B1084" t="s">
        <v>1752</v>
      </c>
      <c r="C1084" s="1">
        <v>41275</v>
      </c>
      <c r="D1084" s="1">
        <v>41639</v>
      </c>
      <c r="E1084" t="s">
        <v>1753</v>
      </c>
      <c r="G1084" t="s">
        <v>353</v>
      </c>
      <c r="H1084" t="s">
        <v>62</v>
      </c>
      <c r="I1084" t="str">
        <f>"43214"</f>
        <v>43214</v>
      </c>
      <c r="J1084" t="s">
        <v>63</v>
      </c>
      <c r="K1084" t="s">
        <v>23</v>
      </c>
      <c r="L1084" s="2">
        <v>5024525</v>
      </c>
      <c r="M1084" s="2">
        <v>3279930</v>
      </c>
      <c r="N1084" s="2">
        <v>3728088</v>
      </c>
      <c r="O1084" s="2">
        <v>4590935</v>
      </c>
      <c r="P1084" s="2">
        <v>4590935</v>
      </c>
      <c r="Q1084" s="2">
        <v>0</v>
      </c>
    </row>
    <row r="1085" spans="1:17" x14ac:dyDescent="0.25">
      <c r="A1085" t="s">
        <v>4879</v>
      </c>
      <c r="B1085" t="s">
        <v>4880</v>
      </c>
      <c r="C1085" s="1">
        <v>40909</v>
      </c>
      <c r="D1085" s="1">
        <v>41274</v>
      </c>
      <c r="E1085" t="s">
        <v>4881</v>
      </c>
      <c r="G1085" t="s">
        <v>1189</v>
      </c>
      <c r="H1085" t="s">
        <v>29</v>
      </c>
      <c r="I1085" t="str">
        <f>"60521"</f>
        <v>60521</v>
      </c>
      <c r="J1085" t="s">
        <v>22</v>
      </c>
      <c r="K1085" t="s">
        <v>23</v>
      </c>
      <c r="L1085" s="2">
        <v>5021332</v>
      </c>
      <c r="M1085" s="2">
        <v>1431553</v>
      </c>
      <c r="N1085" s="2">
        <v>0</v>
      </c>
      <c r="O1085" s="2">
        <v>295881</v>
      </c>
      <c r="P1085" t="s">
        <v>24</v>
      </c>
      <c r="Q1085" t="s">
        <v>24</v>
      </c>
    </row>
    <row r="1086" spans="1:17" x14ac:dyDescent="0.25">
      <c r="A1086" t="s">
        <v>2502</v>
      </c>
      <c r="B1086" t="s">
        <v>2503</v>
      </c>
      <c r="C1086" s="1">
        <v>41275</v>
      </c>
      <c r="D1086" s="1">
        <v>41639</v>
      </c>
      <c r="E1086" t="s">
        <v>2504</v>
      </c>
      <c r="G1086" t="s">
        <v>77</v>
      </c>
      <c r="H1086" t="s">
        <v>78</v>
      </c>
      <c r="I1086" t="str">
        <f>"40201"</f>
        <v>40201</v>
      </c>
      <c r="J1086" t="s">
        <v>22</v>
      </c>
      <c r="K1086" t="s">
        <v>30</v>
      </c>
      <c r="L1086" s="2">
        <v>5016845</v>
      </c>
      <c r="M1086" s="2">
        <v>2063493</v>
      </c>
      <c r="N1086" s="2">
        <v>0</v>
      </c>
      <c r="O1086" s="2">
        <v>251061</v>
      </c>
      <c r="P1086" t="s">
        <v>24</v>
      </c>
      <c r="Q1086" t="s">
        <v>24</v>
      </c>
    </row>
    <row r="1087" spans="1:17" x14ac:dyDescent="0.25">
      <c r="A1087" t="s">
        <v>5061</v>
      </c>
      <c r="B1087" t="s">
        <v>5062</v>
      </c>
      <c r="C1087" s="1">
        <v>41275</v>
      </c>
      <c r="D1087" s="1">
        <v>41639</v>
      </c>
      <c r="E1087" t="s">
        <v>5063</v>
      </c>
      <c r="G1087" t="s">
        <v>5064</v>
      </c>
      <c r="H1087" t="s">
        <v>29</v>
      </c>
      <c r="I1087" t="str">
        <f>"60525"</f>
        <v>60525</v>
      </c>
      <c r="J1087" t="s">
        <v>22</v>
      </c>
      <c r="K1087" t="s">
        <v>30</v>
      </c>
      <c r="L1087" s="2">
        <v>5011735</v>
      </c>
      <c r="M1087" s="2">
        <v>2034159</v>
      </c>
      <c r="N1087" s="2">
        <v>8522</v>
      </c>
      <c r="O1087" s="2">
        <v>319113</v>
      </c>
      <c r="P1087" t="s">
        <v>24</v>
      </c>
      <c r="Q1087" t="s">
        <v>24</v>
      </c>
    </row>
    <row r="1088" spans="1:17" x14ac:dyDescent="0.25">
      <c r="A1088" t="s">
        <v>2540</v>
      </c>
      <c r="B1088" t="s">
        <v>2541</v>
      </c>
      <c r="C1088" s="1">
        <v>41275</v>
      </c>
      <c r="D1088" s="1">
        <v>41639</v>
      </c>
      <c r="E1088" t="s">
        <v>1535</v>
      </c>
      <c r="G1088" t="s">
        <v>41</v>
      </c>
      <c r="H1088" t="s">
        <v>42</v>
      </c>
      <c r="I1088" t="str">
        <f>"53201"</f>
        <v>53201</v>
      </c>
      <c r="J1088" t="s">
        <v>63</v>
      </c>
      <c r="K1088" t="s">
        <v>30</v>
      </c>
      <c r="L1088" s="2">
        <v>5010158</v>
      </c>
      <c r="M1088" s="2">
        <v>1856382</v>
      </c>
      <c r="N1088" s="2">
        <v>0</v>
      </c>
      <c r="O1088" s="2">
        <v>768484</v>
      </c>
      <c r="P1088" s="2">
        <v>72962</v>
      </c>
      <c r="Q1088" t="s">
        <v>24</v>
      </c>
    </row>
    <row r="1089" spans="1:17" x14ac:dyDescent="0.25">
      <c r="A1089" t="s">
        <v>3468</v>
      </c>
      <c r="B1089" t="s">
        <v>3469</v>
      </c>
      <c r="C1089" s="1">
        <v>41548</v>
      </c>
      <c r="D1089" s="1">
        <v>41912</v>
      </c>
      <c r="E1089" t="s">
        <v>3470</v>
      </c>
      <c r="G1089" t="s">
        <v>28</v>
      </c>
      <c r="H1089" t="s">
        <v>29</v>
      </c>
      <c r="I1089" t="str">
        <f>"60604"</f>
        <v>60604</v>
      </c>
      <c r="J1089" t="s">
        <v>22</v>
      </c>
      <c r="K1089" t="s">
        <v>23</v>
      </c>
      <c r="L1089" s="2">
        <v>5006127</v>
      </c>
      <c r="M1089" s="2">
        <v>568108</v>
      </c>
      <c r="N1089" s="2">
        <v>0</v>
      </c>
      <c r="O1089" s="2">
        <v>214010</v>
      </c>
      <c r="P1089" t="s">
        <v>24</v>
      </c>
      <c r="Q1089" t="s">
        <v>24</v>
      </c>
    </row>
    <row r="1090" spans="1:17" x14ac:dyDescent="0.25">
      <c r="A1090" t="s">
        <v>2604</v>
      </c>
      <c r="B1090" t="s">
        <v>2605</v>
      </c>
      <c r="C1090" s="1">
        <v>41153</v>
      </c>
      <c r="D1090" s="1">
        <v>41517</v>
      </c>
      <c r="E1090" t="s">
        <v>163</v>
      </c>
      <c r="G1090" t="s">
        <v>28</v>
      </c>
      <c r="H1090" t="s">
        <v>29</v>
      </c>
      <c r="I1090" t="str">
        <f>"60603"</f>
        <v>60603</v>
      </c>
      <c r="J1090" t="s">
        <v>22</v>
      </c>
      <c r="K1090" t="s">
        <v>30</v>
      </c>
      <c r="L1090" s="2">
        <v>5005093</v>
      </c>
      <c r="M1090" s="2">
        <v>1870174</v>
      </c>
      <c r="N1090" s="2">
        <v>0</v>
      </c>
      <c r="O1090" s="2">
        <v>347457</v>
      </c>
      <c r="P1090" t="s">
        <v>24</v>
      </c>
      <c r="Q1090" t="s">
        <v>24</v>
      </c>
    </row>
    <row r="1091" spans="1:17" x14ac:dyDescent="0.25">
      <c r="A1091" t="s">
        <v>2597</v>
      </c>
      <c r="B1091" t="s">
        <v>2598</v>
      </c>
      <c r="C1091" s="1">
        <v>41275</v>
      </c>
      <c r="D1091" s="1">
        <v>41639</v>
      </c>
      <c r="E1091" t="s">
        <v>2599</v>
      </c>
      <c r="G1091" t="s">
        <v>2600</v>
      </c>
      <c r="H1091" t="s">
        <v>29</v>
      </c>
      <c r="I1091" t="str">
        <f>"62206"</f>
        <v>62206</v>
      </c>
      <c r="J1091" t="s">
        <v>22</v>
      </c>
      <c r="K1091" t="s">
        <v>23</v>
      </c>
      <c r="L1091" s="2">
        <v>5001113</v>
      </c>
      <c r="M1091" s="2">
        <v>10913</v>
      </c>
      <c r="N1091" s="2">
        <v>0</v>
      </c>
      <c r="O1091" s="2">
        <v>10000</v>
      </c>
      <c r="P1091" t="s">
        <v>24</v>
      </c>
      <c r="Q1091" t="s">
        <v>24</v>
      </c>
    </row>
    <row r="1092" spans="1:17" x14ac:dyDescent="0.25">
      <c r="A1092" t="s">
        <v>4735</v>
      </c>
      <c r="B1092" t="s">
        <v>4736</v>
      </c>
      <c r="C1092" s="1">
        <v>41275</v>
      </c>
      <c r="D1092" s="1">
        <v>41639</v>
      </c>
      <c r="E1092" t="s">
        <v>4737</v>
      </c>
      <c r="G1092" t="s">
        <v>337</v>
      </c>
      <c r="H1092" t="s">
        <v>62</v>
      </c>
      <c r="I1092" t="str">
        <f>"44115"</f>
        <v>44115</v>
      </c>
      <c r="J1092" t="s">
        <v>63</v>
      </c>
      <c r="K1092" t="s">
        <v>79</v>
      </c>
      <c r="L1092" s="2">
        <v>4987624</v>
      </c>
      <c r="M1092" s="2">
        <v>562438</v>
      </c>
      <c r="N1092" s="2">
        <v>0</v>
      </c>
      <c r="O1092" s="2">
        <v>151245</v>
      </c>
      <c r="P1092" s="2">
        <v>38100</v>
      </c>
      <c r="Q1092" s="2">
        <v>0</v>
      </c>
    </row>
    <row r="1093" spans="1:17" x14ac:dyDescent="0.25">
      <c r="A1093" t="s">
        <v>6821</v>
      </c>
      <c r="B1093" t="s">
        <v>6822</v>
      </c>
      <c r="E1093" t="s">
        <v>6823</v>
      </c>
      <c r="G1093" t="s">
        <v>143</v>
      </c>
      <c r="H1093" t="s">
        <v>47</v>
      </c>
      <c r="I1093" t="str">
        <f>"48202"</f>
        <v>48202</v>
      </c>
      <c r="J1093" t="s">
        <v>63</v>
      </c>
      <c r="K1093" t="s">
        <v>79</v>
      </c>
      <c r="L1093" s="2">
        <v>4985933</v>
      </c>
      <c r="M1093" s="2">
        <v>6276811</v>
      </c>
      <c r="N1093" s="2">
        <v>0</v>
      </c>
      <c r="O1093" s="2">
        <v>6086659</v>
      </c>
      <c r="P1093" s="2">
        <v>2742374</v>
      </c>
      <c r="Q1093" t="s">
        <v>24</v>
      </c>
    </row>
    <row r="1094" spans="1:17" x14ac:dyDescent="0.25">
      <c r="A1094" t="s">
        <v>99</v>
      </c>
      <c r="B1094" t="s">
        <v>100</v>
      </c>
      <c r="C1094" s="1">
        <v>41426</v>
      </c>
      <c r="D1094" s="1">
        <v>41790</v>
      </c>
      <c r="E1094" t="s">
        <v>101</v>
      </c>
      <c r="G1094" t="s">
        <v>86</v>
      </c>
      <c r="H1094" t="s">
        <v>42</v>
      </c>
      <c r="I1094" t="str">
        <f>"53707"</f>
        <v>53707</v>
      </c>
      <c r="J1094" t="s">
        <v>22</v>
      </c>
      <c r="K1094" t="s">
        <v>30</v>
      </c>
      <c r="L1094" s="2">
        <v>4981072</v>
      </c>
      <c r="M1094" s="2">
        <v>461162</v>
      </c>
      <c r="N1094" s="2">
        <v>0</v>
      </c>
      <c r="O1094" s="2">
        <v>206588</v>
      </c>
      <c r="P1094" t="s">
        <v>24</v>
      </c>
      <c r="Q1094" t="s">
        <v>24</v>
      </c>
    </row>
    <row r="1095" spans="1:17" x14ac:dyDescent="0.25">
      <c r="A1095" t="s">
        <v>1218</v>
      </c>
      <c r="B1095" t="s">
        <v>1219</v>
      </c>
      <c r="C1095" s="1">
        <v>41275</v>
      </c>
      <c r="D1095" s="1">
        <v>41639</v>
      </c>
      <c r="E1095" t="s">
        <v>1220</v>
      </c>
      <c r="G1095" t="s">
        <v>139</v>
      </c>
      <c r="H1095" t="s">
        <v>47</v>
      </c>
      <c r="I1095" t="str">
        <f>"49503"</f>
        <v>49503</v>
      </c>
      <c r="J1095" t="s">
        <v>22</v>
      </c>
      <c r="K1095" t="s">
        <v>79</v>
      </c>
      <c r="L1095" s="2">
        <v>4957307</v>
      </c>
      <c r="M1095" s="2">
        <v>11712693</v>
      </c>
      <c r="N1095" s="2">
        <v>0</v>
      </c>
      <c r="O1095" s="2">
        <v>1143411</v>
      </c>
      <c r="P1095" t="s">
        <v>24</v>
      </c>
      <c r="Q1095" t="s">
        <v>24</v>
      </c>
    </row>
    <row r="1096" spans="1:17" x14ac:dyDescent="0.25">
      <c r="A1096" t="s">
        <v>548</v>
      </c>
      <c r="B1096" t="s">
        <v>549</v>
      </c>
      <c r="C1096" s="1">
        <v>41275</v>
      </c>
      <c r="D1096" s="1">
        <v>41639</v>
      </c>
      <c r="E1096" t="s">
        <v>163</v>
      </c>
      <c r="G1096" t="s">
        <v>28</v>
      </c>
      <c r="H1096" t="s">
        <v>29</v>
      </c>
      <c r="I1096" t="str">
        <f>"60603"</f>
        <v>60603</v>
      </c>
      <c r="J1096" t="s">
        <v>22</v>
      </c>
      <c r="K1096" t="s">
        <v>30</v>
      </c>
      <c r="L1096" s="2">
        <v>4956637</v>
      </c>
      <c r="M1096" s="2">
        <v>1689276</v>
      </c>
      <c r="N1096" s="2">
        <v>0</v>
      </c>
      <c r="O1096" s="2">
        <v>271613</v>
      </c>
      <c r="P1096" t="s">
        <v>24</v>
      </c>
      <c r="Q1096" t="s">
        <v>24</v>
      </c>
    </row>
    <row r="1097" spans="1:17" x14ac:dyDescent="0.25">
      <c r="A1097" t="s">
        <v>3708</v>
      </c>
      <c r="B1097" t="s">
        <v>3709</v>
      </c>
      <c r="C1097" s="1">
        <v>41275</v>
      </c>
      <c r="D1097" s="1">
        <v>41639</v>
      </c>
      <c r="E1097" t="s">
        <v>3710</v>
      </c>
      <c r="G1097" t="s">
        <v>865</v>
      </c>
      <c r="H1097" t="s">
        <v>29</v>
      </c>
      <c r="I1097" t="str">
        <f>"60035"</f>
        <v>60035</v>
      </c>
      <c r="J1097" t="s">
        <v>22</v>
      </c>
      <c r="K1097" t="s">
        <v>23</v>
      </c>
      <c r="L1097" s="2">
        <v>4949888</v>
      </c>
      <c r="M1097" s="2">
        <v>1416765</v>
      </c>
      <c r="N1097" s="2">
        <v>0</v>
      </c>
      <c r="O1097" s="2">
        <v>296519</v>
      </c>
      <c r="P1097" t="s">
        <v>24</v>
      </c>
      <c r="Q1097" t="s">
        <v>24</v>
      </c>
    </row>
    <row r="1098" spans="1:17" x14ac:dyDescent="0.25">
      <c r="A1098" t="s">
        <v>6081</v>
      </c>
      <c r="B1098" t="s">
        <v>6082</v>
      </c>
      <c r="C1098" s="1">
        <v>41275</v>
      </c>
      <c r="D1098" s="1">
        <v>41639</v>
      </c>
      <c r="E1098" t="s">
        <v>6083</v>
      </c>
      <c r="G1098" t="s">
        <v>6084</v>
      </c>
      <c r="H1098" t="s">
        <v>78</v>
      </c>
      <c r="I1098" t="str">
        <f>"41031"</f>
        <v>41031</v>
      </c>
      <c r="J1098" t="s">
        <v>63</v>
      </c>
      <c r="K1098" t="s">
        <v>91</v>
      </c>
      <c r="L1098" s="2">
        <v>4945857</v>
      </c>
      <c r="M1098" s="2">
        <v>379672</v>
      </c>
      <c r="N1098" s="2">
        <v>0</v>
      </c>
      <c r="O1098" s="2">
        <v>302016</v>
      </c>
      <c r="P1098" s="2">
        <v>28750</v>
      </c>
      <c r="Q1098" s="2">
        <v>0</v>
      </c>
    </row>
    <row r="1099" spans="1:17" x14ac:dyDescent="0.25">
      <c r="A1099" t="s">
        <v>2706</v>
      </c>
      <c r="B1099" t="s">
        <v>2707</v>
      </c>
      <c r="C1099" s="1">
        <v>41275</v>
      </c>
      <c r="D1099" s="1">
        <v>41639</v>
      </c>
      <c r="E1099" t="s">
        <v>2708</v>
      </c>
      <c r="G1099" t="s">
        <v>303</v>
      </c>
      <c r="H1099" t="s">
        <v>78</v>
      </c>
      <c r="I1099" t="str">
        <f>"40602"</f>
        <v>40602</v>
      </c>
      <c r="J1099" t="s">
        <v>63</v>
      </c>
      <c r="K1099" t="s">
        <v>30</v>
      </c>
      <c r="L1099" s="2">
        <v>4889595</v>
      </c>
      <c r="M1099" s="2">
        <v>452826</v>
      </c>
      <c r="N1099" s="2">
        <v>0</v>
      </c>
      <c r="O1099" s="2">
        <v>200186</v>
      </c>
      <c r="P1099" s="2">
        <v>25152</v>
      </c>
      <c r="Q1099" s="2">
        <v>0</v>
      </c>
    </row>
    <row r="1100" spans="1:17" x14ac:dyDescent="0.25">
      <c r="A1100" t="s">
        <v>2542</v>
      </c>
      <c r="B1100" t="s">
        <v>2543</v>
      </c>
      <c r="C1100" s="1">
        <v>41275</v>
      </c>
      <c r="D1100" s="1">
        <v>41639</v>
      </c>
      <c r="E1100" t="s">
        <v>2544</v>
      </c>
      <c r="G1100" t="s">
        <v>2545</v>
      </c>
      <c r="H1100" t="s">
        <v>21</v>
      </c>
      <c r="I1100" t="str">
        <f>"47331"</f>
        <v>47331</v>
      </c>
      <c r="J1100" t="s">
        <v>63</v>
      </c>
      <c r="K1100" t="s">
        <v>79</v>
      </c>
      <c r="L1100" s="2">
        <v>4888597</v>
      </c>
      <c r="M1100" s="2">
        <v>598990</v>
      </c>
      <c r="N1100" s="2">
        <v>44266</v>
      </c>
      <c r="O1100" s="2">
        <v>194741</v>
      </c>
      <c r="P1100" s="2">
        <v>101475</v>
      </c>
      <c r="Q1100" s="2">
        <v>0</v>
      </c>
    </row>
    <row r="1101" spans="1:17" x14ac:dyDescent="0.25">
      <c r="A1101" t="s">
        <v>4077</v>
      </c>
      <c r="B1101" t="s">
        <v>4078</v>
      </c>
      <c r="C1101" s="1">
        <v>41275</v>
      </c>
      <c r="D1101" s="1">
        <v>41639</v>
      </c>
      <c r="E1101" t="s">
        <v>4079</v>
      </c>
      <c r="G1101" t="s">
        <v>28</v>
      </c>
      <c r="H1101" t="s">
        <v>29</v>
      </c>
      <c r="I1101" t="str">
        <f>"60606"</f>
        <v>60606</v>
      </c>
      <c r="J1101" t="s">
        <v>22</v>
      </c>
      <c r="K1101" t="s">
        <v>23</v>
      </c>
      <c r="L1101" s="2">
        <v>4886778</v>
      </c>
      <c r="M1101" s="2">
        <v>996878</v>
      </c>
      <c r="N1101" s="2">
        <v>0</v>
      </c>
      <c r="O1101" s="2">
        <v>558509</v>
      </c>
      <c r="P1101" t="s">
        <v>24</v>
      </c>
      <c r="Q1101" t="s">
        <v>24</v>
      </c>
    </row>
    <row r="1102" spans="1:17" x14ac:dyDescent="0.25">
      <c r="A1102" t="s">
        <v>2215</v>
      </c>
      <c r="B1102" t="s">
        <v>2216</v>
      </c>
      <c r="C1102" s="1">
        <v>40909</v>
      </c>
      <c r="D1102" s="1">
        <v>41274</v>
      </c>
      <c r="E1102" t="s">
        <v>1708</v>
      </c>
      <c r="G1102" t="s">
        <v>28</v>
      </c>
      <c r="H1102" t="s">
        <v>29</v>
      </c>
      <c r="I1102" t="str">
        <f>"60606"</f>
        <v>60606</v>
      </c>
      <c r="J1102" t="s">
        <v>22</v>
      </c>
      <c r="K1102" t="s">
        <v>23</v>
      </c>
      <c r="L1102" s="2">
        <v>4878753</v>
      </c>
      <c r="M1102" s="2">
        <v>510999</v>
      </c>
      <c r="N1102" s="2">
        <v>22167</v>
      </c>
      <c r="O1102" s="2">
        <v>368808</v>
      </c>
      <c r="P1102" t="s">
        <v>24</v>
      </c>
      <c r="Q1102" t="s">
        <v>24</v>
      </c>
    </row>
    <row r="1103" spans="1:17" x14ac:dyDescent="0.25">
      <c r="A1103" t="s">
        <v>3698</v>
      </c>
      <c r="B1103" t="s">
        <v>3699</v>
      </c>
      <c r="C1103" s="1">
        <v>41275</v>
      </c>
      <c r="D1103" s="1">
        <v>41639</v>
      </c>
      <c r="E1103" t="s">
        <v>3700</v>
      </c>
      <c r="G1103" t="s">
        <v>303</v>
      </c>
      <c r="H1103" t="s">
        <v>62</v>
      </c>
      <c r="I1103" t="str">
        <f>"45628"</f>
        <v>45628</v>
      </c>
      <c r="J1103" t="s">
        <v>22</v>
      </c>
      <c r="K1103" t="s">
        <v>23</v>
      </c>
      <c r="L1103" s="2">
        <v>4869817</v>
      </c>
      <c r="M1103" s="2">
        <v>1094062</v>
      </c>
      <c r="N1103" s="2">
        <v>0</v>
      </c>
      <c r="O1103" s="2">
        <v>23350</v>
      </c>
      <c r="P1103" t="s">
        <v>24</v>
      </c>
      <c r="Q1103" t="s">
        <v>24</v>
      </c>
    </row>
    <row r="1104" spans="1:17" x14ac:dyDescent="0.25">
      <c r="A1104" t="s">
        <v>6872</v>
      </c>
      <c r="B1104" t="s">
        <v>6873</v>
      </c>
      <c r="C1104" s="1">
        <v>41548</v>
      </c>
      <c r="D1104" s="1">
        <v>41912</v>
      </c>
      <c r="E1104" t="s">
        <v>6874</v>
      </c>
      <c r="F1104" t="s">
        <v>6875</v>
      </c>
      <c r="G1104" t="s">
        <v>6804</v>
      </c>
      <c r="H1104" t="s">
        <v>62</v>
      </c>
      <c r="I1104" t="str">
        <f>"45701"</f>
        <v>45701</v>
      </c>
      <c r="J1104" t="s">
        <v>63</v>
      </c>
      <c r="K1104" t="s">
        <v>64</v>
      </c>
      <c r="L1104" s="2">
        <v>4828307</v>
      </c>
      <c r="M1104" s="2">
        <v>897694</v>
      </c>
      <c r="N1104" s="2">
        <v>80155</v>
      </c>
      <c r="O1104" s="2">
        <v>604302</v>
      </c>
      <c r="P1104" s="2">
        <v>192369</v>
      </c>
      <c r="Q1104" s="2">
        <v>7930</v>
      </c>
    </row>
    <row r="1105" spans="1:17" x14ac:dyDescent="0.25">
      <c r="A1105" t="s">
        <v>7456</v>
      </c>
      <c r="B1105" t="s">
        <v>7457</v>
      </c>
      <c r="C1105" s="1">
        <v>41275</v>
      </c>
      <c r="D1105" s="1">
        <v>41639</v>
      </c>
      <c r="E1105" t="s">
        <v>7458</v>
      </c>
      <c r="G1105" t="s">
        <v>1853</v>
      </c>
      <c r="H1105" t="s">
        <v>29</v>
      </c>
      <c r="I1105" t="str">
        <f>"62306"</f>
        <v>62306</v>
      </c>
      <c r="J1105" t="s">
        <v>22</v>
      </c>
      <c r="K1105" t="s">
        <v>30</v>
      </c>
      <c r="L1105" s="2">
        <v>4821899</v>
      </c>
      <c r="M1105" s="2">
        <v>1196460</v>
      </c>
      <c r="N1105" s="2">
        <v>0</v>
      </c>
      <c r="O1105" s="2">
        <v>244089</v>
      </c>
      <c r="P1105" t="s">
        <v>24</v>
      </c>
      <c r="Q1105" t="s">
        <v>24</v>
      </c>
    </row>
    <row r="1106" spans="1:17" x14ac:dyDescent="0.25">
      <c r="A1106" t="s">
        <v>4401</v>
      </c>
      <c r="B1106" t="s">
        <v>4402</v>
      </c>
      <c r="C1106" s="1">
        <v>41183</v>
      </c>
      <c r="D1106" s="1">
        <v>41547</v>
      </c>
      <c r="E1106" t="s">
        <v>104</v>
      </c>
      <c r="G1106" t="s">
        <v>28</v>
      </c>
      <c r="H1106" t="s">
        <v>29</v>
      </c>
      <c r="I1106" t="str">
        <f>"60680"</f>
        <v>60680</v>
      </c>
      <c r="J1106" t="s">
        <v>22</v>
      </c>
      <c r="K1106" t="s">
        <v>30</v>
      </c>
      <c r="L1106" s="2">
        <v>4814661</v>
      </c>
      <c r="M1106" s="2">
        <v>1443162</v>
      </c>
      <c r="N1106" s="2">
        <v>0</v>
      </c>
      <c r="O1106" s="2">
        <v>315365</v>
      </c>
      <c r="P1106" t="s">
        <v>24</v>
      </c>
      <c r="Q1106" t="s">
        <v>24</v>
      </c>
    </row>
    <row r="1107" spans="1:17" x14ac:dyDescent="0.25">
      <c r="A1107" t="s">
        <v>2721</v>
      </c>
      <c r="B1107" t="s">
        <v>2722</v>
      </c>
      <c r="C1107" s="1">
        <v>41275</v>
      </c>
      <c r="D1107" s="1">
        <v>41639</v>
      </c>
      <c r="E1107" t="s">
        <v>2723</v>
      </c>
      <c r="G1107" t="s">
        <v>307</v>
      </c>
      <c r="H1107" t="s">
        <v>29</v>
      </c>
      <c r="I1107" t="str">
        <f>"60093"</f>
        <v>60093</v>
      </c>
      <c r="J1107" t="s">
        <v>22</v>
      </c>
      <c r="K1107" t="s">
        <v>23</v>
      </c>
      <c r="L1107" s="2">
        <v>4800485</v>
      </c>
      <c r="M1107" s="2">
        <v>3141220</v>
      </c>
      <c r="N1107" s="2">
        <v>0</v>
      </c>
      <c r="O1107" s="2">
        <v>480590</v>
      </c>
      <c r="P1107" t="s">
        <v>24</v>
      </c>
      <c r="Q1107" t="s">
        <v>24</v>
      </c>
    </row>
    <row r="1108" spans="1:17" x14ac:dyDescent="0.25">
      <c r="A1108" t="s">
        <v>2491</v>
      </c>
      <c r="B1108" t="s">
        <v>2492</v>
      </c>
      <c r="C1108" s="1">
        <v>41275</v>
      </c>
      <c r="D1108" s="1">
        <v>41639</v>
      </c>
      <c r="E1108" t="s">
        <v>2493</v>
      </c>
      <c r="G1108" t="s">
        <v>28</v>
      </c>
      <c r="H1108" t="s">
        <v>29</v>
      </c>
      <c r="I1108" t="str">
        <f>"60614"</f>
        <v>60614</v>
      </c>
      <c r="J1108" t="s">
        <v>22</v>
      </c>
      <c r="K1108" t="s">
        <v>23</v>
      </c>
      <c r="L1108" s="2">
        <v>4794790</v>
      </c>
      <c r="M1108" s="2">
        <v>2189649</v>
      </c>
      <c r="N1108" s="2">
        <v>0</v>
      </c>
      <c r="O1108" s="2">
        <v>422535</v>
      </c>
      <c r="P1108" t="s">
        <v>24</v>
      </c>
      <c r="Q1108" t="s">
        <v>24</v>
      </c>
    </row>
    <row r="1109" spans="1:17" x14ac:dyDescent="0.25">
      <c r="A1109" t="s">
        <v>6724</v>
      </c>
      <c r="B1109" t="s">
        <v>6725</v>
      </c>
      <c r="C1109" s="1">
        <v>41275</v>
      </c>
      <c r="D1109" s="1">
        <v>41639</v>
      </c>
      <c r="E1109" t="s">
        <v>6726</v>
      </c>
      <c r="G1109" t="s">
        <v>1517</v>
      </c>
      <c r="H1109" t="s">
        <v>29</v>
      </c>
      <c r="I1109" t="str">
        <f>"60193"</f>
        <v>60193</v>
      </c>
      <c r="J1109" t="s">
        <v>22</v>
      </c>
      <c r="K1109" t="s">
        <v>23</v>
      </c>
      <c r="L1109" s="2">
        <v>4794327</v>
      </c>
      <c r="M1109" s="2">
        <v>3459063</v>
      </c>
      <c r="N1109" s="2">
        <v>0</v>
      </c>
      <c r="O1109" s="2">
        <v>344380</v>
      </c>
      <c r="P1109" t="s">
        <v>24</v>
      </c>
      <c r="Q1109" t="s">
        <v>24</v>
      </c>
    </row>
    <row r="1110" spans="1:17" x14ac:dyDescent="0.25">
      <c r="A1110" t="s">
        <v>2867</v>
      </c>
      <c r="B1110" t="s">
        <v>2868</v>
      </c>
      <c r="C1110" s="1">
        <v>41275</v>
      </c>
      <c r="D1110" s="1">
        <v>41639</v>
      </c>
      <c r="E1110" t="s">
        <v>2869</v>
      </c>
      <c r="G1110" t="s">
        <v>353</v>
      </c>
      <c r="H1110" t="s">
        <v>62</v>
      </c>
      <c r="I1110" t="str">
        <f>"43220"</f>
        <v>43220</v>
      </c>
      <c r="J1110" t="s">
        <v>22</v>
      </c>
      <c r="K1110" t="s">
        <v>23</v>
      </c>
      <c r="L1110" s="2">
        <v>4792816</v>
      </c>
      <c r="M1110" s="2">
        <v>297425</v>
      </c>
      <c r="N1110" s="2">
        <v>0</v>
      </c>
      <c r="O1110" s="2">
        <v>272207</v>
      </c>
      <c r="P1110" t="s">
        <v>24</v>
      </c>
      <c r="Q1110" t="s">
        <v>24</v>
      </c>
    </row>
    <row r="1111" spans="1:17" x14ac:dyDescent="0.25">
      <c r="A1111" t="s">
        <v>6570</v>
      </c>
      <c r="B1111" t="s">
        <v>6571</v>
      </c>
      <c r="C1111" s="1">
        <v>41275</v>
      </c>
      <c r="D1111" s="1">
        <v>41639</v>
      </c>
      <c r="E1111" t="s">
        <v>6572</v>
      </c>
      <c r="G1111" t="s">
        <v>833</v>
      </c>
      <c r="H1111" t="s">
        <v>29</v>
      </c>
      <c r="I1111" t="str">
        <f>"61702"</f>
        <v>61702</v>
      </c>
      <c r="J1111" t="s">
        <v>22</v>
      </c>
      <c r="K1111" t="s">
        <v>23</v>
      </c>
      <c r="L1111" s="2">
        <v>4790799</v>
      </c>
      <c r="M1111" s="2">
        <v>14033026</v>
      </c>
      <c r="N1111" s="2">
        <v>0</v>
      </c>
      <c r="O1111" s="2">
        <v>17362818</v>
      </c>
      <c r="P1111" t="s">
        <v>24</v>
      </c>
      <c r="Q1111" t="s">
        <v>24</v>
      </c>
    </row>
    <row r="1112" spans="1:17" x14ac:dyDescent="0.25">
      <c r="A1112" t="s">
        <v>7679</v>
      </c>
      <c r="B1112" t="s">
        <v>7680</v>
      </c>
      <c r="C1112" s="1">
        <v>41122</v>
      </c>
      <c r="D1112" s="1">
        <v>41486</v>
      </c>
      <c r="E1112" t="s">
        <v>7681</v>
      </c>
      <c r="G1112" t="s">
        <v>41</v>
      </c>
      <c r="H1112" t="s">
        <v>42</v>
      </c>
      <c r="I1112" t="str">
        <f>"53223"</f>
        <v>53223</v>
      </c>
      <c r="J1112" t="s">
        <v>22</v>
      </c>
      <c r="K1112" t="s">
        <v>23</v>
      </c>
      <c r="L1112" s="2">
        <v>4782703</v>
      </c>
      <c r="M1112" s="2">
        <v>2376748</v>
      </c>
      <c r="N1112" s="2">
        <v>1937158</v>
      </c>
      <c r="O1112" s="2">
        <v>1782558</v>
      </c>
      <c r="P1112" t="s">
        <v>24</v>
      </c>
      <c r="Q1112" t="s">
        <v>24</v>
      </c>
    </row>
    <row r="1113" spans="1:17" x14ac:dyDescent="0.25">
      <c r="A1113" t="s">
        <v>473</v>
      </c>
      <c r="B1113" t="s">
        <v>474</v>
      </c>
      <c r="C1113" s="1">
        <v>41091</v>
      </c>
      <c r="D1113" s="1">
        <v>41455</v>
      </c>
      <c r="E1113" t="s">
        <v>475</v>
      </c>
      <c r="G1113" t="s">
        <v>28</v>
      </c>
      <c r="H1113" t="s">
        <v>29</v>
      </c>
      <c r="I1113" t="str">
        <f>"60606"</f>
        <v>60606</v>
      </c>
      <c r="J1113" t="s">
        <v>63</v>
      </c>
      <c r="K1113" t="s">
        <v>30</v>
      </c>
      <c r="L1113" s="2">
        <v>4781046</v>
      </c>
      <c r="M1113" s="2">
        <v>1142286</v>
      </c>
      <c r="N1113" s="2">
        <v>3350</v>
      </c>
      <c r="O1113" s="2">
        <v>213360</v>
      </c>
      <c r="P1113" s="2">
        <v>3360</v>
      </c>
      <c r="Q1113" s="2">
        <v>0</v>
      </c>
    </row>
    <row r="1114" spans="1:17" x14ac:dyDescent="0.25">
      <c r="A1114" t="s">
        <v>7209</v>
      </c>
      <c r="B1114" t="s">
        <v>7210</v>
      </c>
      <c r="C1114" s="1">
        <v>41275</v>
      </c>
      <c r="D1114" s="1">
        <v>41639</v>
      </c>
      <c r="E1114" t="s">
        <v>7211</v>
      </c>
      <c r="F1114" t="s">
        <v>7212</v>
      </c>
      <c r="G1114" t="s">
        <v>7213</v>
      </c>
      <c r="H1114" t="s">
        <v>42</v>
      </c>
      <c r="I1114" t="str">
        <f>"54751"</f>
        <v>54751</v>
      </c>
      <c r="J1114" t="s">
        <v>63</v>
      </c>
      <c r="K1114" t="s">
        <v>64</v>
      </c>
      <c r="L1114" s="2">
        <v>4772112</v>
      </c>
      <c r="M1114" s="2">
        <v>507864</v>
      </c>
      <c r="N1114" s="2">
        <v>915324</v>
      </c>
      <c r="O1114" s="2">
        <v>410456</v>
      </c>
      <c r="P1114" s="2">
        <v>99661</v>
      </c>
      <c r="Q1114" s="2">
        <v>29501</v>
      </c>
    </row>
    <row r="1115" spans="1:17" x14ac:dyDescent="0.25">
      <c r="A1115" t="s">
        <v>5400</v>
      </c>
      <c r="B1115" t="s">
        <v>5401</v>
      </c>
      <c r="C1115" s="1">
        <v>41275</v>
      </c>
      <c r="D1115" s="1">
        <v>41639</v>
      </c>
      <c r="E1115" t="s">
        <v>5402</v>
      </c>
      <c r="G1115" t="s">
        <v>5403</v>
      </c>
      <c r="H1115" t="s">
        <v>29</v>
      </c>
      <c r="I1115" t="str">
        <f>"60448"</f>
        <v>60448</v>
      </c>
      <c r="J1115" t="s">
        <v>22</v>
      </c>
      <c r="K1115" t="s">
        <v>23</v>
      </c>
      <c r="L1115" s="2">
        <v>4772012</v>
      </c>
      <c r="M1115" s="2">
        <v>1557076</v>
      </c>
      <c r="N1115" s="2">
        <v>0</v>
      </c>
      <c r="O1115" s="2">
        <v>187346</v>
      </c>
      <c r="P1115" t="s">
        <v>24</v>
      </c>
      <c r="Q1115" t="s">
        <v>24</v>
      </c>
    </row>
    <row r="1116" spans="1:17" x14ac:dyDescent="0.25">
      <c r="A1116" t="s">
        <v>4699</v>
      </c>
      <c r="B1116" t="s">
        <v>4700</v>
      </c>
      <c r="C1116" s="1">
        <v>41275</v>
      </c>
      <c r="D1116" s="1">
        <v>41639</v>
      </c>
      <c r="E1116" t="s">
        <v>4701</v>
      </c>
      <c r="G1116" t="s">
        <v>77</v>
      </c>
      <c r="H1116" t="s">
        <v>78</v>
      </c>
      <c r="I1116" t="str">
        <f>"40299"</f>
        <v>40299</v>
      </c>
      <c r="J1116" t="s">
        <v>63</v>
      </c>
      <c r="K1116" t="s">
        <v>30</v>
      </c>
      <c r="L1116" s="2">
        <v>4760076</v>
      </c>
      <c r="M1116" s="2">
        <v>231060</v>
      </c>
      <c r="N1116" s="2">
        <v>7275</v>
      </c>
      <c r="O1116" s="2">
        <v>190472</v>
      </c>
      <c r="P1116" s="2">
        <v>49011</v>
      </c>
      <c r="Q1116" s="2">
        <v>10480</v>
      </c>
    </row>
    <row r="1117" spans="1:17" x14ac:dyDescent="0.25">
      <c r="A1117" t="s">
        <v>2445</v>
      </c>
      <c r="B1117" t="s">
        <v>2446</v>
      </c>
      <c r="C1117" s="1">
        <v>41275</v>
      </c>
      <c r="D1117" s="1">
        <v>41639</v>
      </c>
      <c r="E1117" t="s">
        <v>2447</v>
      </c>
      <c r="G1117" t="s">
        <v>28</v>
      </c>
      <c r="H1117" t="s">
        <v>29</v>
      </c>
      <c r="I1117" t="str">
        <f>"60657"</f>
        <v>60657</v>
      </c>
      <c r="J1117" t="s">
        <v>22</v>
      </c>
      <c r="K1117" t="s">
        <v>23</v>
      </c>
      <c r="L1117" s="2">
        <v>4759581</v>
      </c>
      <c r="M1117" s="2">
        <v>3270074</v>
      </c>
      <c r="N1117" s="2">
        <v>0</v>
      </c>
      <c r="O1117" s="2">
        <v>240958</v>
      </c>
      <c r="P1117" t="s">
        <v>24</v>
      </c>
      <c r="Q1117" t="s">
        <v>24</v>
      </c>
    </row>
    <row r="1118" spans="1:17" x14ac:dyDescent="0.25">
      <c r="A1118" t="s">
        <v>7528</v>
      </c>
      <c r="B1118" t="s">
        <v>7529</v>
      </c>
      <c r="C1118" s="1">
        <v>41334</v>
      </c>
      <c r="D1118" s="1">
        <v>41698</v>
      </c>
      <c r="E1118" t="s">
        <v>50</v>
      </c>
      <c r="G1118" t="s">
        <v>28</v>
      </c>
      <c r="H1118" t="s">
        <v>29</v>
      </c>
      <c r="I1118" t="str">
        <f>"60603"</f>
        <v>60603</v>
      </c>
      <c r="J1118" t="s">
        <v>22</v>
      </c>
      <c r="K1118" t="s">
        <v>23</v>
      </c>
      <c r="L1118" s="2">
        <v>4752615</v>
      </c>
      <c r="M1118" s="2">
        <v>1292370</v>
      </c>
      <c r="N1118" s="2">
        <v>0</v>
      </c>
      <c r="O1118" s="2">
        <v>206225</v>
      </c>
      <c r="P1118" t="s">
        <v>24</v>
      </c>
      <c r="Q1118" t="s">
        <v>24</v>
      </c>
    </row>
    <row r="1119" spans="1:17" x14ac:dyDescent="0.25">
      <c r="A1119" t="s">
        <v>2920</v>
      </c>
      <c r="B1119" t="s">
        <v>2921</v>
      </c>
      <c r="C1119" s="1">
        <v>41275</v>
      </c>
      <c r="D1119" s="1">
        <v>41639</v>
      </c>
      <c r="E1119" t="s">
        <v>104</v>
      </c>
      <c r="G1119" t="s">
        <v>28</v>
      </c>
      <c r="H1119" t="s">
        <v>29</v>
      </c>
      <c r="I1119" t="str">
        <f>"60680"</f>
        <v>60680</v>
      </c>
      <c r="J1119" t="s">
        <v>63</v>
      </c>
      <c r="K1119" t="s">
        <v>30</v>
      </c>
      <c r="L1119" s="2">
        <v>4745719</v>
      </c>
      <c r="M1119" s="2">
        <v>460621</v>
      </c>
      <c r="N1119" s="2">
        <v>0</v>
      </c>
      <c r="O1119" s="2">
        <v>172303</v>
      </c>
      <c r="P1119" s="2">
        <v>49940</v>
      </c>
      <c r="Q1119" t="s">
        <v>24</v>
      </c>
    </row>
    <row r="1120" spans="1:17" x14ac:dyDescent="0.25">
      <c r="A1120" t="s">
        <v>5998</v>
      </c>
      <c r="B1120" t="s">
        <v>5999</v>
      </c>
      <c r="C1120" s="1">
        <v>41395</v>
      </c>
      <c r="D1120" s="1">
        <v>41759</v>
      </c>
      <c r="E1120" t="s">
        <v>6000</v>
      </c>
      <c r="G1120" t="s">
        <v>143</v>
      </c>
      <c r="H1120" t="s">
        <v>47</v>
      </c>
      <c r="I1120" t="str">
        <f>"48226"</f>
        <v>48226</v>
      </c>
      <c r="J1120" t="s">
        <v>22</v>
      </c>
      <c r="K1120" t="s">
        <v>23</v>
      </c>
      <c r="L1120" s="2">
        <v>4730939</v>
      </c>
      <c r="M1120" s="2">
        <v>1746024</v>
      </c>
      <c r="N1120" s="2">
        <v>100</v>
      </c>
      <c r="O1120" s="2">
        <v>318497</v>
      </c>
      <c r="P1120" t="s">
        <v>24</v>
      </c>
      <c r="Q1120" t="s">
        <v>24</v>
      </c>
    </row>
    <row r="1121" spans="1:17" x14ac:dyDescent="0.25">
      <c r="A1121" t="s">
        <v>5822</v>
      </c>
      <c r="B1121" t="s">
        <v>5823</v>
      </c>
      <c r="C1121" s="1">
        <v>41275</v>
      </c>
      <c r="D1121" s="1">
        <v>41639</v>
      </c>
      <c r="E1121" t="s">
        <v>104</v>
      </c>
      <c r="G1121" t="s">
        <v>28</v>
      </c>
      <c r="H1121" t="s">
        <v>29</v>
      </c>
      <c r="I1121" t="str">
        <f>"60680"</f>
        <v>60680</v>
      </c>
      <c r="J1121" t="s">
        <v>22</v>
      </c>
      <c r="K1121" t="s">
        <v>30</v>
      </c>
      <c r="L1121" s="2">
        <v>4713197</v>
      </c>
      <c r="M1121" s="2">
        <v>3458727</v>
      </c>
      <c r="N1121" s="2">
        <v>0</v>
      </c>
      <c r="O1121" s="2">
        <v>183668</v>
      </c>
      <c r="P1121" t="s">
        <v>24</v>
      </c>
      <c r="Q1121" t="s">
        <v>24</v>
      </c>
    </row>
    <row r="1122" spans="1:17" x14ac:dyDescent="0.25">
      <c r="A1122" t="s">
        <v>1979</v>
      </c>
      <c r="B1122" t="s">
        <v>1980</v>
      </c>
      <c r="C1122" s="1">
        <v>41275</v>
      </c>
      <c r="D1122" s="1">
        <v>41639</v>
      </c>
      <c r="E1122" t="s">
        <v>1981</v>
      </c>
      <c r="G1122" t="s">
        <v>28</v>
      </c>
      <c r="H1122" t="s">
        <v>29</v>
      </c>
      <c r="I1122" t="str">
        <f>"60606"</f>
        <v>60606</v>
      </c>
      <c r="J1122" t="s">
        <v>22</v>
      </c>
      <c r="K1122" t="s">
        <v>23</v>
      </c>
      <c r="L1122" s="2">
        <v>4709115</v>
      </c>
      <c r="M1122" s="2">
        <v>494064</v>
      </c>
      <c r="N1122" s="2">
        <v>0</v>
      </c>
      <c r="O1122" s="2">
        <v>481916</v>
      </c>
      <c r="P1122" t="s">
        <v>24</v>
      </c>
      <c r="Q1122" t="s">
        <v>24</v>
      </c>
    </row>
    <row r="1123" spans="1:17" x14ac:dyDescent="0.25">
      <c r="A1123" t="s">
        <v>2849</v>
      </c>
      <c r="B1123" t="s">
        <v>2850</v>
      </c>
      <c r="C1123" s="1">
        <v>41365</v>
      </c>
      <c r="D1123" s="1">
        <v>41729</v>
      </c>
      <c r="E1123" t="s">
        <v>2851</v>
      </c>
      <c r="G1123" t="s">
        <v>2852</v>
      </c>
      <c r="H1123" t="s">
        <v>29</v>
      </c>
      <c r="I1123" t="str">
        <f>"61201"</f>
        <v>61201</v>
      </c>
      <c r="J1123" t="s">
        <v>22</v>
      </c>
      <c r="K1123" t="s">
        <v>23</v>
      </c>
      <c r="L1123" s="2">
        <v>4693967</v>
      </c>
      <c r="M1123" s="2">
        <v>1180286</v>
      </c>
      <c r="N1123" s="2">
        <v>0</v>
      </c>
      <c r="O1123" s="2">
        <v>769838</v>
      </c>
      <c r="P1123" t="s">
        <v>24</v>
      </c>
      <c r="Q1123" t="s">
        <v>24</v>
      </c>
    </row>
    <row r="1124" spans="1:17" x14ac:dyDescent="0.25">
      <c r="A1124" t="s">
        <v>3322</v>
      </c>
      <c r="B1124" t="s">
        <v>3323</v>
      </c>
      <c r="C1124" s="1">
        <v>41275</v>
      </c>
      <c r="D1124" s="1">
        <v>41639</v>
      </c>
      <c r="E1124" t="s">
        <v>3324</v>
      </c>
      <c r="G1124" t="s">
        <v>2652</v>
      </c>
      <c r="H1124" t="s">
        <v>47</v>
      </c>
      <c r="I1124" t="str">
        <f>"49058"</f>
        <v>49058</v>
      </c>
      <c r="J1124" t="s">
        <v>22</v>
      </c>
      <c r="K1124" t="s">
        <v>23</v>
      </c>
      <c r="L1124" s="2">
        <v>4688344</v>
      </c>
      <c r="M1124" s="2">
        <v>2136725</v>
      </c>
      <c r="N1124" s="2">
        <v>0</v>
      </c>
      <c r="O1124" s="2">
        <v>737838</v>
      </c>
      <c r="P1124" t="s">
        <v>24</v>
      </c>
      <c r="Q1124" t="s">
        <v>24</v>
      </c>
    </row>
    <row r="1125" spans="1:17" x14ac:dyDescent="0.25">
      <c r="A1125" t="s">
        <v>6773</v>
      </c>
      <c r="B1125" t="s">
        <v>6774</v>
      </c>
      <c r="C1125" s="1">
        <v>40909</v>
      </c>
      <c r="D1125" s="1">
        <v>41274</v>
      </c>
      <c r="E1125" t="s">
        <v>1090</v>
      </c>
      <c r="G1125" t="s">
        <v>28</v>
      </c>
      <c r="H1125" t="s">
        <v>29</v>
      </c>
      <c r="I1125" t="str">
        <f>"60654"</f>
        <v>60654</v>
      </c>
      <c r="J1125" t="s">
        <v>22</v>
      </c>
      <c r="K1125" t="s">
        <v>91</v>
      </c>
      <c r="L1125" s="2">
        <v>4666028</v>
      </c>
      <c r="M1125" s="2">
        <v>3055324</v>
      </c>
      <c r="N1125" s="2">
        <v>0</v>
      </c>
      <c r="O1125" s="2">
        <v>498462</v>
      </c>
      <c r="P1125" t="s">
        <v>24</v>
      </c>
      <c r="Q1125" t="s">
        <v>24</v>
      </c>
    </row>
    <row r="1126" spans="1:17" x14ac:dyDescent="0.25">
      <c r="A1126" t="s">
        <v>4316</v>
      </c>
      <c r="B1126" t="s">
        <v>4317</v>
      </c>
      <c r="C1126" s="1">
        <v>41183</v>
      </c>
      <c r="D1126" s="1">
        <v>41547</v>
      </c>
      <c r="E1126" t="s">
        <v>104</v>
      </c>
      <c r="G1126" t="s">
        <v>28</v>
      </c>
      <c r="H1126" t="s">
        <v>29</v>
      </c>
      <c r="I1126" t="str">
        <f>"60680"</f>
        <v>60680</v>
      </c>
      <c r="J1126" t="s">
        <v>22</v>
      </c>
      <c r="K1126" t="s">
        <v>30</v>
      </c>
      <c r="L1126" s="2">
        <v>4640842</v>
      </c>
      <c r="M1126" s="2">
        <v>1208067</v>
      </c>
      <c r="N1126" s="2">
        <v>0</v>
      </c>
      <c r="O1126" s="2">
        <v>304115</v>
      </c>
      <c r="P1126" t="s">
        <v>24</v>
      </c>
      <c r="Q1126" t="s">
        <v>24</v>
      </c>
    </row>
    <row r="1127" spans="1:17" x14ac:dyDescent="0.25">
      <c r="A1127" t="s">
        <v>4898</v>
      </c>
      <c r="B1127" t="s">
        <v>4899</v>
      </c>
      <c r="C1127" s="1">
        <v>41275</v>
      </c>
      <c r="D1127" s="1">
        <v>41639</v>
      </c>
      <c r="E1127" t="s">
        <v>4900</v>
      </c>
      <c r="G1127" t="s">
        <v>28</v>
      </c>
      <c r="H1127" t="s">
        <v>29</v>
      </c>
      <c r="I1127" t="str">
        <f>"60613"</f>
        <v>60613</v>
      </c>
      <c r="J1127" t="s">
        <v>63</v>
      </c>
      <c r="K1127" t="s">
        <v>79</v>
      </c>
      <c r="L1127" s="2">
        <v>4622443</v>
      </c>
      <c r="M1127" s="2">
        <v>267141</v>
      </c>
      <c r="N1127" s="2">
        <v>0</v>
      </c>
      <c r="O1127" s="2">
        <v>153109</v>
      </c>
      <c r="P1127" s="2">
        <v>62441</v>
      </c>
      <c r="Q1127" s="2">
        <v>0</v>
      </c>
    </row>
    <row r="1128" spans="1:17" x14ac:dyDescent="0.25">
      <c r="A1128" t="s">
        <v>2837</v>
      </c>
      <c r="B1128" t="s">
        <v>2838</v>
      </c>
      <c r="C1128" s="1">
        <v>41275</v>
      </c>
      <c r="D1128" s="1">
        <v>41639</v>
      </c>
      <c r="E1128" t="s">
        <v>2839</v>
      </c>
      <c r="G1128" t="s">
        <v>1028</v>
      </c>
      <c r="H1128" t="s">
        <v>47</v>
      </c>
      <c r="I1128" t="str">
        <f>"48104"</f>
        <v>48104</v>
      </c>
      <c r="J1128" t="s">
        <v>22</v>
      </c>
      <c r="K1128" t="s">
        <v>23</v>
      </c>
      <c r="L1128" s="2">
        <v>4621259</v>
      </c>
      <c r="M1128" s="2">
        <v>815054</v>
      </c>
      <c r="N1128" s="2">
        <v>0</v>
      </c>
      <c r="O1128" s="2">
        <v>138989</v>
      </c>
      <c r="P1128" t="s">
        <v>24</v>
      </c>
      <c r="Q1128" t="s">
        <v>24</v>
      </c>
    </row>
    <row r="1129" spans="1:17" x14ac:dyDescent="0.25">
      <c r="A1129" t="s">
        <v>1769</v>
      </c>
      <c r="B1129" t="s">
        <v>1770</v>
      </c>
      <c r="C1129" s="1">
        <v>41456</v>
      </c>
      <c r="D1129" s="1">
        <v>41820</v>
      </c>
      <c r="E1129" t="s">
        <v>1771</v>
      </c>
      <c r="G1129" t="s">
        <v>147</v>
      </c>
      <c r="H1129" t="s">
        <v>62</v>
      </c>
      <c r="I1129" t="str">
        <f>"44320"</f>
        <v>44320</v>
      </c>
      <c r="J1129" t="s">
        <v>63</v>
      </c>
      <c r="K1129" t="s">
        <v>79</v>
      </c>
      <c r="L1129" s="2">
        <v>4617352</v>
      </c>
      <c r="M1129" s="2">
        <v>1024467</v>
      </c>
      <c r="N1129" s="2">
        <v>0</v>
      </c>
      <c r="O1129" s="2">
        <v>496792</v>
      </c>
      <c r="P1129" s="2">
        <v>36759</v>
      </c>
      <c r="Q1129" s="2">
        <v>0</v>
      </c>
    </row>
    <row r="1130" spans="1:17" x14ac:dyDescent="0.25">
      <c r="A1130" t="s">
        <v>3849</v>
      </c>
      <c r="B1130" t="s">
        <v>3850</v>
      </c>
      <c r="C1130" s="1">
        <v>41275</v>
      </c>
      <c r="D1130" s="1">
        <v>41639</v>
      </c>
      <c r="E1130" t="s">
        <v>236</v>
      </c>
      <c r="G1130" t="s">
        <v>237</v>
      </c>
      <c r="H1130" t="s">
        <v>42</v>
      </c>
      <c r="I1130" t="str">
        <f>"54601"</f>
        <v>54601</v>
      </c>
      <c r="J1130" t="s">
        <v>22</v>
      </c>
      <c r="K1130" t="s">
        <v>30</v>
      </c>
      <c r="L1130" s="2">
        <v>4615789</v>
      </c>
      <c r="M1130" s="2">
        <v>1931453</v>
      </c>
      <c r="N1130" s="2">
        <v>0</v>
      </c>
      <c r="O1130" s="2">
        <v>202617</v>
      </c>
      <c r="P1130" t="s">
        <v>24</v>
      </c>
      <c r="Q1130" t="s">
        <v>24</v>
      </c>
    </row>
    <row r="1131" spans="1:17" x14ac:dyDescent="0.25">
      <c r="A1131" t="s">
        <v>7064</v>
      </c>
      <c r="B1131" t="s">
        <v>7065</v>
      </c>
      <c r="C1131" s="1">
        <v>41275</v>
      </c>
      <c r="D1131" s="1">
        <v>41639</v>
      </c>
      <c r="E1131" t="s">
        <v>7066</v>
      </c>
      <c r="G1131" t="s">
        <v>5377</v>
      </c>
      <c r="H1131" t="s">
        <v>29</v>
      </c>
      <c r="I1131" t="str">
        <f>"60069"</f>
        <v>60069</v>
      </c>
      <c r="J1131" t="s">
        <v>22</v>
      </c>
      <c r="K1131" t="s">
        <v>23</v>
      </c>
      <c r="L1131" s="2">
        <v>4615399</v>
      </c>
      <c r="M1131" s="2">
        <v>1745562</v>
      </c>
      <c r="N1131" s="2">
        <v>0</v>
      </c>
      <c r="O1131" s="2">
        <v>212908</v>
      </c>
      <c r="P1131" t="s">
        <v>24</v>
      </c>
      <c r="Q1131" t="s">
        <v>24</v>
      </c>
    </row>
    <row r="1132" spans="1:17" x14ac:dyDescent="0.25">
      <c r="A1132" t="s">
        <v>992</v>
      </c>
      <c r="B1132" t="s">
        <v>993</v>
      </c>
      <c r="C1132" s="1">
        <v>41275</v>
      </c>
      <c r="D1132" s="1">
        <v>41639</v>
      </c>
      <c r="E1132" t="s">
        <v>994</v>
      </c>
      <c r="G1132" t="s">
        <v>995</v>
      </c>
      <c r="H1132" t="s">
        <v>47</v>
      </c>
      <c r="I1132" t="str">
        <f>"48174"</f>
        <v>48174</v>
      </c>
      <c r="J1132" t="s">
        <v>22</v>
      </c>
      <c r="K1132" t="s">
        <v>30</v>
      </c>
      <c r="L1132" s="2">
        <v>4609530</v>
      </c>
      <c r="M1132" s="2">
        <v>4862815</v>
      </c>
      <c r="N1132" s="2">
        <v>0</v>
      </c>
      <c r="O1132" s="2">
        <v>140401</v>
      </c>
      <c r="P1132" t="s">
        <v>24</v>
      </c>
      <c r="Q1132" t="s">
        <v>24</v>
      </c>
    </row>
    <row r="1133" spans="1:17" x14ac:dyDescent="0.25">
      <c r="A1133" t="s">
        <v>2472</v>
      </c>
      <c r="B1133" t="s">
        <v>2473</v>
      </c>
      <c r="C1133" s="1">
        <v>41275</v>
      </c>
      <c r="D1133" s="1">
        <v>41639</v>
      </c>
      <c r="E1133" t="s">
        <v>2474</v>
      </c>
      <c r="G1133" t="s">
        <v>2475</v>
      </c>
      <c r="H1133" t="s">
        <v>29</v>
      </c>
      <c r="I1133" t="str">
        <f>"62002"</f>
        <v>62002</v>
      </c>
      <c r="J1133" t="s">
        <v>22</v>
      </c>
      <c r="K1133" t="s">
        <v>23</v>
      </c>
      <c r="L1133" s="2">
        <v>4603060</v>
      </c>
      <c r="M1133" s="2">
        <v>3254402</v>
      </c>
      <c r="N1133" s="2">
        <v>0</v>
      </c>
      <c r="O1133" s="2">
        <v>70358</v>
      </c>
      <c r="P1133" t="s">
        <v>24</v>
      </c>
      <c r="Q1133" t="s">
        <v>24</v>
      </c>
    </row>
    <row r="1134" spans="1:17" x14ac:dyDescent="0.25">
      <c r="A1134" t="s">
        <v>5770</v>
      </c>
      <c r="B1134" t="s">
        <v>5771</v>
      </c>
      <c r="C1134" s="1">
        <v>41275</v>
      </c>
      <c r="D1134" s="1">
        <v>41639</v>
      </c>
      <c r="E1134" t="s">
        <v>5772</v>
      </c>
      <c r="G1134" t="s">
        <v>1785</v>
      </c>
      <c r="H1134" t="s">
        <v>62</v>
      </c>
      <c r="I1134" t="str">
        <f>"43402"</f>
        <v>43402</v>
      </c>
      <c r="J1134" t="s">
        <v>63</v>
      </c>
      <c r="K1134" t="s">
        <v>64</v>
      </c>
      <c r="L1134" s="2">
        <v>4590975</v>
      </c>
      <c r="M1134" s="2">
        <v>280122</v>
      </c>
      <c r="N1134" s="2">
        <v>0</v>
      </c>
      <c r="O1134" s="2">
        <v>156775</v>
      </c>
      <c r="P1134" s="2">
        <v>4762</v>
      </c>
      <c r="Q1134" s="2">
        <v>0</v>
      </c>
    </row>
    <row r="1135" spans="1:17" x14ac:dyDescent="0.25">
      <c r="A1135" t="s">
        <v>6085</v>
      </c>
      <c r="B1135" t="s">
        <v>6086</v>
      </c>
      <c r="C1135" s="1">
        <v>41275</v>
      </c>
      <c r="D1135" s="1">
        <v>41639</v>
      </c>
      <c r="E1135" t="s">
        <v>6087</v>
      </c>
      <c r="G1135" t="s">
        <v>1010</v>
      </c>
      <c r="H1135" t="s">
        <v>47</v>
      </c>
      <c r="I1135" t="str">
        <f>"49686"</f>
        <v>49686</v>
      </c>
      <c r="J1135" t="s">
        <v>22</v>
      </c>
      <c r="K1135" t="s">
        <v>30</v>
      </c>
      <c r="L1135" s="2">
        <v>4590583</v>
      </c>
      <c r="M1135" s="2">
        <v>1637790</v>
      </c>
      <c r="N1135" s="2">
        <v>0</v>
      </c>
      <c r="O1135" s="2">
        <v>180890</v>
      </c>
      <c r="P1135" t="s">
        <v>24</v>
      </c>
      <c r="Q1135" t="s">
        <v>24</v>
      </c>
    </row>
    <row r="1136" spans="1:17" x14ac:dyDescent="0.25">
      <c r="A1136" t="s">
        <v>381</v>
      </c>
      <c r="B1136" t="s">
        <v>382</v>
      </c>
      <c r="C1136" s="1">
        <v>41275</v>
      </c>
      <c r="D1136" s="1">
        <v>41639</v>
      </c>
      <c r="E1136" t="s">
        <v>383</v>
      </c>
      <c r="G1136" t="s">
        <v>28</v>
      </c>
      <c r="H1136" t="s">
        <v>29</v>
      </c>
      <c r="I1136" t="str">
        <f>"60603"</f>
        <v>60603</v>
      </c>
      <c r="J1136" t="s">
        <v>22</v>
      </c>
      <c r="K1136" t="s">
        <v>30</v>
      </c>
      <c r="L1136" s="2">
        <v>4588527</v>
      </c>
      <c r="M1136" s="2">
        <v>2043064</v>
      </c>
      <c r="N1136" s="2">
        <v>0</v>
      </c>
      <c r="O1136" s="2">
        <v>250284</v>
      </c>
      <c r="P1136" t="s">
        <v>24</v>
      </c>
      <c r="Q1136" t="s">
        <v>24</v>
      </c>
    </row>
    <row r="1137" spans="1:17" x14ac:dyDescent="0.25">
      <c r="A1137" t="s">
        <v>4839</v>
      </c>
      <c r="B1137" t="s">
        <v>4840</v>
      </c>
      <c r="C1137" s="1">
        <v>41456</v>
      </c>
      <c r="D1137" s="1">
        <v>41820</v>
      </c>
      <c r="E1137" t="s">
        <v>4841</v>
      </c>
      <c r="G1137" t="s">
        <v>424</v>
      </c>
      <c r="H1137" t="s">
        <v>42</v>
      </c>
      <c r="I1137" t="str">
        <f>"54646"</f>
        <v>54646</v>
      </c>
      <c r="J1137" t="s">
        <v>22</v>
      </c>
      <c r="K1137" t="s">
        <v>23</v>
      </c>
      <c r="L1137" s="2">
        <v>4573538</v>
      </c>
      <c r="M1137" s="2">
        <v>877157</v>
      </c>
      <c r="N1137" s="2">
        <v>0</v>
      </c>
      <c r="O1137" s="2">
        <v>208445</v>
      </c>
      <c r="P1137" t="s">
        <v>24</v>
      </c>
      <c r="Q1137" t="s">
        <v>24</v>
      </c>
    </row>
    <row r="1138" spans="1:17" x14ac:dyDescent="0.25">
      <c r="A1138" t="s">
        <v>5068</v>
      </c>
      <c r="B1138" t="s">
        <v>5069</v>
      </c>
      <c r="C1138" s="1">
        <v>41275</v>
      </c>
      <c r="D1138" s="1">
        <v>41639</v>
      </c>
      <c r="E1138" t="s">
        <v>5070</v>
      </c>
      <c r="F1138" t="s">
        <v>5071</v>
      </c>
      <c r="G1138" t="s">
        <v>28</v>
      </c>
      <c r="H1138" t="s">
        <v>29</v>
      </c>
      <c r="I1138" t="str">
        <f>"60611"</f>
        <v>60611</v>
      </c>
      <c r="J1138" t="s">
        <v>63</v>
      </c>
      <c r="K1138" t="s">
        <v>30</v>
      </c>
      <c r="L1138" s="2">
        <v>4567855</v>
      </c>
      <c r="M1138" s="2">
        <v>713233</v>
      </c>
      <c r="N1138" s="2">
        <v>21014</v>
      </c>
      <c r="O1138" s="2">
        <v>260806</v>
      </c>
      <c r="P1138" s="2">
        <v>77015</v>
      </c>
      <c r="Q1138" s="2">
        <v>3669</v>
      </c>
    </row>
    <row r="1139" spans="1:17" x14ac:dyDescent="0.25">
      <c r="A1139" t="s">
        <v>3924</v>
      </c>
      <c r="B1139" t="s">
        <v>3925</v>
      </c>
      <c r="C1139" s="1">
        <v>41275</v>
      </c>
      <c r="D1139" s="1">
        <v>41639</v>
      </c>
      <c r="E1139" t="s">
        <v>3926</v>
      </c>
      <c r="G1139" t="s">
        <v>77</v>
      </c>
      <c r="H1139" t="s">
        <v>78</v>
      </c>
      <c r="I1139" t="str">
        <f>"40223"</f>
        <v>40223</v>
      </c>
      <c r="J1139" t="s">
        <v>22</v>
      </c>
      <c r="K1139" t="s">
        <v>23</v>
      </c>
      <c r="L1139" s="2">
        <v>4564550</v>
      </c>
      <c r="M1139" s="2">
        <v>188261</v>
      </c>
      <c r="N1139" s="2">
        <v>0</v>
      </c>
      <c r="O1139" s="2">
        <v>249596</v>
      </c>
      <c r="P1139" t="s">
        <v>24</v>
      </c>
      <c r="Q1139" t="s">
        <v>24</v>
      </c>
    </row>
    <row r="1140" spans="1:17" x14ac:dyDescent="0.25">
      <c r="A1140" t="s">
        <v>2953</v>
      </c>
      <c r="B1140" t="s">
        <v>2954</v>
      </c>
      <c r="C1140" s="1">
        <v>41275</v>
      </c>
      <c r="D1140" s="1">
        <v>41639</v>
      </c>
      <c r="E1140" t="s">
        <v>2955</v>
      </c>
      <c r="G1140" t="s">
        <v>1010</v>
      </c>
      <c r="H1140" t="s">
        <v>47</v>
      </c>
      <c r="I1140" t="str">
        <f>"49685"</f>
        <v>49685</v>
      </c>
      <c r="J1140" t="s">
        <v>22</v>
      </c>
      <c r="K1140" t="s">
        <v>30</v>
      </c>
      <c r="L1140" s="2">
        <v>4560519</v>
      </c>
      <c r="M1140" s="2">
        <v>1629568</v>
      </c>
      <c r="N1140" s="2">
        <v>0</v>
      </c>
      <c r="O1140" s="2">
        <v>207703</v>
      </c>
      <c r="P1140" t="s">
        <v>24</v>
      </c>
      <c r="Q1140" t="s">
        <v>24</v>
      </c>
    </row>
    <row r="1141" spans="1:17" x14ac:dyDescent="0.25">
      <c r="A1141" t="s">
        <v>6894</v>
      </c>
      <c r="B1141" t="s">
        <v>6895</v>
      </c>
      <c r="C1141" s="1">
        <v>41183</v>
      </c>
      <c r="D1141" s="1">
        <v>41547</v>
      </c>
      <c r="E1141" t="s">
        <v>6896</v>
      </c>
      <c r="G1141" t="s">
        <v>307</v>
      </c>
      <c r="H1141" t="s">
        <v>29</v>
      </c>
      <c r="I1141" t="str">
        <f>"60093"</f>
        <v>60093</v>
      </c>
      <c r="J1141" t="s">
        <v>22</v>
      </c>
      <c r="K1141" t="s">
        <v>30</v>
      </c>
      <c r="L1141" s="2">
        <v>4550684</v>
      </c>
      <c r="M1141" s="2">
        <v>1126545</v>
      </c>
      <c r="N1141" s="2">
        <v>0</v>
      </c>
      <c r="O1141" s="2">
        <v>223246</v>
      </c>
      <c r="P1141" t="s">
        <v>24</v>
      </c>
      <c r="Q1141" t="s">
        <v>24</v>
      </c>
    </row>
    <row r="1142" spans="1:17" x14ac:dyDescent="0.25">
      <c r="A1142" t="s">
        <v>7404</v>
      </c>
      <c r="B1142" t="s">
        <v>7405</v>
      </c>
      <c r="C1142" s="1">
        <v>41275</v>
      </c>
      <c r="D1142" s="1">
        <v>41639</v>
      </c>
      <c r="E1142" t="s">
        <v>7406</v>
      </c>
      <c r="G1142" t="s">
        <v>7407</v>
      </c>
      <c r="H1142" t="s">
        <v>47</v>
      </c>
      <c r="I1142" t="str">
        <f>"48881"</f>
        <v>48881</v>
      </c>
      <c r="J1142" t="s">
        <v>22</v>
      </c>
      <c r="K1142" t="s">
        <v>23</v>
      </c>
      <c r="L1142" s="2">
        <v>4516744</v>
      </c>
      <c r="M1142" s="2">
        <v>1779329</v>
      </c>
      <c r="N1142" s="2">
        <v>94</v>
      </c>
      <c r="O1142" s="2">
        <v>326540</v>
      </c>
      <c r="P1142" t="s">
        <v>24</v>
      </c>
      <c r="Q1142" t="s">
        <v>24</v>
      </c>
    </row>
    <row r="1143" spans="1:17" x14ac:dyDescent="0.25">
      <c r="A1143" t="s">
        <v>3170</v>
      </c>
      <c r="B1143" t="s">
        <v>3171</v>
      </c>
      <c r="C1143" s="1">
        <v>41275</v>
      </c>
      <c r="D1143" s="1">
        <v>41639</v>
      </c>
      <c r="E1143" t="s">
        <v>3172</v>
      </c>
      <c r="G1143" t="s">
        <v>3173</v>
      </c>
      <c r="H1143" t="s">
        <v>29</v>
      </c>
      <c r="I1143" t="str">
        <f>"60005"</f>
        <v>60005</v>
      </c>
      <c r="J1143" t="s">
        <v>63</v>
      </c>
      <c r="K1143" t="s">
        <v>30</v>
      </c>
      <c r="L1143" s="2">
        <v>4516113</v>
      </c>
      <c r="M1143" s="2">
        <v>231367</v>
      </c>
      <c r="N1143" s="2">
        <v>997</v>
      </c>
      <c r="O1143" s="2">
        <v>135953</v>
      </c>
      <c r="P1143" s="2">
        <v>33957</v>
      </c>
      <c r="Q1143" s="2">
        <v>5802</v>
      </c>
    </row>
    <row r="1144" spans="1:17" x14ac:dyDescent="0.25">
      <c r="A1144" t="s">
        <v>4789</v>
      </c>
      <c r="B1144" t="s">
        <v>4790</v>
      </c>
      <c r="C1144" s="1">
        <v>41275</v>
      </c>
      <c r="D1144" s="1">
        <v>41639</v>
      </c>
      <c r="E1144" t="s">
        <v>4791</v>
      </c>
      <c r="G1144" t="s">
        <v>167</v>
      </c>
      <c r="H1144" t="s">
        <v>62</v>
      </c>
      <c r="I1144" t="str">
        <f>"45208"</f>
        <v>45208</v>
      </c>
      <c r="J1144" t="s">
        <v>22</v>
      </c>
      <c r="K1144" t="s">
        <v>30</v>
      </c>
      <c r="L1144" s="2">
        <v>4509778</v>
      </c>
      <c r="M1144" s="2">
        <v>284441</v>
      </c>
      <c r="N1144" s="2">
        <v>0</v>
      </c>
      <c r="O1144" s="2">
        <v>230514</v>
      </c>
      <c r="P1144" t="s">
        <v>24</v>
      </c>
      <c r="Q1144" t="s">
        <v>24</v>
      </c>
    </row>
    <row r="1145" spans="1:17" x14ac:dyDescent="0.25">
      <c r="A1145" t="s">
        <v>3802</v>
      </c>
      <c r="B1145" t="s">
        <v>3803</v>
      </c>
      <c r="E1145" t="s">
        <v>3804</v>
      </c>
      <c r="G1145" t="s">
        <v>167</v>
      </c>
      <c r="H1145" t="s">
        <v>62</v>
      </c>
      <c r="I1145" t="str">
        <f>"45243"</f>
        <v>45243</v>
      </c>
      <c r="J1145" t="s">
        <v>752</v>
      </c>
      <c r="K1145" t="s">
        <v>753</v>
      </c>
      <c r="L1145" s="2">
        <v>4505702</v>
      </c>
      <c r="M1145" s="2">
        <v>155806</v>
      </c>
      <c r="N1145" s="2">
        <v>0</v>
      </c>
      <c r="O1145" t="s">
        <v>24</v>
      </c>
      <c r="P1145" t="s">
        <v>24</v>
      </c>
      <c r="Q1145" t="s">
        <v>24</v>
      </c>
    </row>
    <row r="1146" spans="1:17" x14ac:dyDescent="0.25">
      <c r="A1146" t="s">
        <v>4969</v>
      </c>
      <c r="B1146" t="s">
        <v>4970</v>
      </c>
      <c r="C1146" s="1">
        <v>41275</v>
      </c>
      <c r="D1146" s="1">
        <v>41639</v>
      </c>
      <c r="E1146" t="s">
        <v>4971</v>
      </c>
      <c r="G1146" t="s">
        <v>517</v>
      </c>
      <c r="H1146" t="s">
        <v>62</v>
      </c>
      <c r="I1146" t="str">
        <f>"45419"</f>
        <v>45419</v>
      </c>
      <c r="J1146" t="s">
        <v>22</v>
      </c>
      <c r="K1146" t="s">
        <v>91</v>
      </c>
      <c r="L1146" s="2">
        <v>4499382</v>
      </c>
      <c r="M1146" s="2">
        <v>350540</v>
      </c>
      <c r="N1146" s="2">
        <v>0</v>
      </c>
      <c r="O1146" s="2">
        <v>224680</v>
      </c>
      <c r="P1146" t="s">
        <v>24</v>
      </c>
      <c r="Q1146" t="s">
        <v>24</v>
      </c>
    </row>
    <row r="1147" spans="1:17" x14ac:dyDescent="0.25">
      <c r="A1147" t="s">
        <v>2950</v>
      </c>
      <c r="B1147" t="s">
        <v>2951</v>
      </c>
      <c r="C1147" s="1">
        <v>41456</v>
      </c>
      <c r="D1147" s="1">
        <v>41820</v>
      </c>
      <c r="E1147" t="s">
        <v>2952</v>
      </c>
      <c r="G1147" t="s">
        <v>1575</v>
      </c>
      <c r="H1147" t="s">
        <v>42</v>
      </c>
      <c r="I1147" t="str">
        <f>"54913"</f>
        <v>54913</v>
      </c>
      <c r="J1147" t="s">
        <v>22</v>
      </c>
      <c r="K1147" t="s">
        <v>23</v>
      </c>
      <c r="L1147" s="2">
        <v>4495567</v>
      </c>
      <c r="M1147" s="2">
        <v>1181053</v>
      </c>
      <c r="N1147" s="2">
        <v>0</v>
      </c>
      <c r="O1147" s="2">
        <v>188004</v>
      </c>
      <c r="P1147" t="s">
        <v>24</v>
      </c>
      <c r="Q1147" t="s">
        <v>24</v>
      </c>
    </row>
    <row r="1148" spans="1:17" x14ac:dyDescent="0.25">
      <c r="A1148" t="s">
        <v>1533</v>
      </c>
      <c r="B1148" t="s">
        <v>1534</v>
      </c>
      <c r="C1148" s="1">
        <v>41456</v>
      </c>
      <c r="D1148" s="1">
        <v>41820</v>
      </c>
      <c r="E1148" t="s">
        <v>1535</v>
      </c>
      <c r="G1148" t="s">
        <v>41</v>
      </c>
      <c r="H1148" t="s">
        <v>42</v>
      </c>
      <c r="I1148" t="str">
        <f>"53201"</f>
        <v>53201</v>
      </c>
      <c r="J1148" t="s">
        <v>22</v>
      </c>
      <c r="K1148" t="s">
        <v>23</v>
      </c>
      <c r="L1148" s="2">
        <v>4494134</v>
      </c>
      <c r="M1148" s="2">
        <v>789945</v>
      </c>
      <c r="N1148" s="2">
        <v>0</v>
      </c>
      <c r="O1148" s="2">
        <v>257422</v>
      </c>
      <c r="P1148" t="s">
        <v>24</v>
      </c>
      <c r="Q1148" t="s">
        <v>24</v>
      </c>
    </row>
    <row r="1149" spans="1:17" x14ac:dyDescent="0.25">
      <c r="A1149" t="s">
        <v>4567</v>
      </c>
      <c r="B1149" t="s">
        <v>4568</v>
      </c>
      <c r="C1149" s="1">
        <v>41275</v>
      </c>
      <c r="D1149" s="1">
        <v>41639</v>
      </c>
      <c r="E1149" t="s">
        <v>4569</v>
      </c>
      <c r="G1149" t="s">
        <v>1376</v>
      </c>
      <c r="H1149" t="s">
        <v>29</v>
      </c>
      <c r="I1149" t="str">
        <f>"60010"</f>
        <v>60010</v>
      </c>
      <c r="J1149" t="s">
        <v>63</v>
      </c>
      <c r="K1149" t="s">
        <v>64</v>
      </c>
      <c r="L1149" s="2">
        <v>4492941</v>
      </c>
      <c r="M1149" s="2">
        <v>1036073</v>
      </c>
      <c r="N1149" s="2">
        <v>16524</v>
      </c>
      <c r="O1149" s="2">
        <v>169514</v>
      </c>
      <c r="P1149" s="2">
        <v>22215</v>
      </c>
      <c r="Q1149" s="2">
        <v>11299</v>
      </c>
    </row>
    <row r="1150" spans="1:17" x14ac:dyDescent="0.25">
      <c r="A1150" t="s">
        <v>6961</v>
      </c>
      <c r="B1150" t="s">
        <v>6962</v>
      </c>
      <c r="C1150" s="1">
        <v>41275</v>
      </c>
      <c r="D1150" s="1">
        <v>41639</v>
      </c>
      <c r="E1150" t="s">
        <v>556</v>
      </c>
      <c r="G1150" t="s">
        <v>167</v>
      </c>
      <c r="H1150" t="s">
        <v>62</v>
      </c>
      <c r="I1150" t="str">
        <f>"45201"</f>
        <v>45201</v>
      </c>
      <c r="J1150" t="s">
        <v>22</v>
      </c>
      <c r="K1150" t="s">
        <v>23</v>
      </c>
      <c r="L1150" s="2">
        <v>4487754</v>
      </c>
      <c r="M1150" s="2">
        <v>1815408</v>
      </c>
      <c r="N1150" s="2">
        <v>0</v>
      </c>
      <c r="O1150" s="2">
        <v>181053</v>
      </c>
      <c r="P1150" t="s">
        <v>24</v>
      </c>
      <c r="Q1150" t="s">
        <v>24</v>
      </c>
    </row>
    <row r="1151" spans="1:17" x14ac:dyDescent="0.25">
      <c r="A1151" t="s">
        <v>1830</v>
      </c>
      <c r="B1151" t="s">
        <v>1831</v>
      </c>
      <c r="C1151" s="1">
        <v>41275</v>
      </c>
      <c r="D1151" s="1">
        <v>41639</v>
      </c>
      <c r="E1151" t="s">
        <v>1832</v>
      </c>
      <c r="G1151" t="s">
        <v>1833</v>
      </c>
      <c r="H1151" t="s">
        <v>47</v>
      </c>
      <c r="I1151" t="str">
        <f>"49670"</f>
        <v>49670</v>
      </c>
      <c r="J1151" t="s">
        <v>63</v>
      </c>
      <c r="K1151" t="s">
        <v>64</v>
      </c>
      <c r="L1151" s="2">
        <v>4487210</v>
      </c>
      <c r="M1151" s="2">
        <v>386370</v>
      </c>
      <c r="N1151" s="2">
        <v>19176</v>
      </c>
      <c r="O1151" s="2">
        <v>186116</v>
      </c>
      <c r="P1151" s="2">
        <v>23895</v>
      </c>
      <c r="Q1151" s="2">
        <v>12067</v>
      </c>
    </row>
    <row r="1152" spans="1:17" x14ac:dyDescent="0.25">
      <c r="A1152" t="s">
        <v>5801</v>
      </c>
      <c r="B1152" t="s">
        <v>5802</v>
      </c>
      <c r="C1152" s="1">
        <v>41275</v>
      </c>
      <c r="D1152" s="1">
        <v>41639</v>
      </c>
      <c r="E1152" t="s">
        <v>5803</v>
      </c>
      <c r="G1152" t="s">
        <v>1809</v>
      </c>
      <c r="H1152" t="s">
        <v>29</v>
      </c>
      <c r="I1152" t="str">
        <f>"60045"</f>
        <v>60045</v>
      </c>
      <c r="J1152" t="s">
        <v>22</v>
      </c>
      <c r="K1152" t="s">
        <v>23</v>
      </c>
      <c r="L1152" s="2">
        <v>4477933</v>
      </c>
      <c r="M1152" s="2">
        <v>750079</v>
      </c>
      <c r="N1152" s="2">
        <v>0</v>
      </c>
      <c r="O1152" s="2">
        <v>229458</v>
      </c>
      <c r="P1152" t="s">
        <v>24</v>
      </c>
      <c r="Q1152" t="s">
        <v>24</v>
      </c>
    </row>
    <row r="1153" spans="1:17" x14ac:dyDescent="0.25">
      <c r="A1153" t="s">
        <v>2870</v>
      </c>
      <c r="B1153" t="s">
        <v>2871</v>
      </c>
      <c r="C1153" s="1">
        <v>41244</v>
      </c>
      <c r="D1153" s="1">
        <v>41608</v>
      </c>
      <c r="E1153" t="s">
        <v>2872</v>
      </c>
      <c r="G1153" t="s">
        <v>28</v>
      </c>
      <c r="H1153" t="s">
        <v>29</v>
      </c>
      <c r="I1153" t="str">
        <f>"60603"</f>
        <v>60603</v>
      </c>
      <c r="J1153" t="s">
        <v>22</v>
      </c>
      <c r="K1153" t="s">
        <v>23</v>
      </c>
      <c r="L1153" s="2">
        <v>4471289</v>
      </c>
      <c r="M1153" s="2">
        <v>1796380</v>
      </c>
      <c r="N1153" s="2">
        <v>0</v>
      </c>
      <c r="O1153" s="2">
        <v>260213</v>
      </c>
      <c r="P1153" t="s">
        <v>24</v>
      </c>
      <c r="Q1153" t="s">
        <v>24</v>
      </c>
    </row>
    <row r="1154" spans="1:17" x14ac:dyDescent="0.25">
      <c r="A1154" t="s">
        <v>3769</v>
      </c>
      <c r="B1154" t="s">
        <v>3770</v>
      </c>
      <c r="C1154" s="1">
        <v>41275</v>
      </c>
      <c r="D1154" s="1">
        <v>41639</v>
      </c>
      <c r="E1154" t="s">
        <v>3771</v>
      </c>
      <c r="G1154" t="s">
        <v>167</v>
      </c>
      <c r="H1154" t="s">
        <v>62</v>
      </c>
      <c r="I1154" t="str">
        <f>"45226"</f>
        <v>45226</v>
      </c>
      <c r="J1154" t="s">
        <v>22</v>
      </c>
      <c r="K1154" t="s">
        <v>23</v>
      </c>
      <c r="L1154" s="2">
        <v>4460162</v>
      </c>
      <c r="M1154" s="2">
        <v>124864</v>
      </c>
      <c r="N1154" s="2">
        <v>0</v>
      </c>
      <c r="O1154" s="2">
        <v>221026</v>
      </c>
      <c r="P1154" t="s">
        <v>24</v>
      </c>
      <c r="Q1154" t="s">
        <v>24</v>
      </c>
    </row>
    <row r="1155" spans="1:17" x14ac:dyDescent="0.25">
      <c r="A1155" t="s">
        <v>6695</v>
      </c>
      <c r="B1155" t="s">
        <v>6696</v>
      </c>
      <c r="C1155" s="1">
        <v>41365</v>
      </c>
      <c r="D1155" s="1">
        <v>41729</v>
      </c>
      <c r="E1155" t="s">
        <v>163</v>
      </c>
      <c r="G1155" t="s">
        <v>28</v>
      </c>
      <c r="H1155" t="s">
        <v>29</v>
      </c>
      <c r="I1155" t="str">
        <f>"60603"</f>
        <v>60603</v>
      </c>
      <c r="J1155" t="s">
        <v>22</v>
      </c>
      <c r="K1155" t="s">
        <v>30</v>
      </c>
      <c r="L1155" s="2">
        <v>4448539</v>
      </c>
      <c r="M1155" s="2">
        <v>2199895</v>
      </c>
      <c r="N1155" s="2">
        <v>0</v>
      </c>
      <c r="O1155" s="2">
        <v>169034</v>
      </c>
      <c r="P1155" t="s">
        <v>24</v>
      </c>
      <c r="Q1155" t="s">
        <v>24</v>
      </c>
    </row>
    <row r="1156" spans="1:17" x14ac:dyDescent="0.25">
      <c r="A1156" t="s">
        <v>6959</v>
      </c>
      <c r="B1156" t="s">
        <v>6960</v>
      </c>
      <c r="C1156" s="1">
        <v>41275</v>
      </c>
      <c r="D1156" s="1">
        <v>41639</v>
      </c>
      <c r="E1156" t="s">
        <v>2077</v>
      </c>
      <c r="G1156" t="s">
        <v>337</v>
      </c>
      <c r="H1156" t="s">
        <v>62</v>
      </c>
      <c r="I1156" t="str">
        <f>"44114"</f>
        <v>44114</v>
      </c>
      <c r="J1156" t="s">
        <v>22</v>
      </c>
      <c r="K1156" t="s">
        <v>23</v>
      </c>
      <c r="L1156" s="2">
        <v>4444127</v>
      </c>
      <c r="M1156" s="2">
        <v>1848614</v>
      </c>
      <c r="N1156" s="2">
        <v>0</v>
      </c>
      <c r="O1156" s="2">
        <v>235637</v>
      </c>
      <c r="P1156" t="s">
        <v>24</v>
      </c>
      <c r="Q1156" t="s">
        <v>24</v>
      </c>
    </row>
    <row r="1157" spans="1:17" x14ac:dyDescent="0.25">
      <c r="A1157" t="s">
        <v>7494</v>
      </c>
      <c r="B1157" t="s">
        <v>7495</v>
      </c>
      <c r="C1157" s="1">
        <v>41275</v>
      </c>
      <c r="D1157" s="1">
        <v>41639</v>
      </c>
      <c r="E1157" t="s">
        <v>7496</v>
      </c>
      <c r="G1157" t="s">
        <v>7497</v>
      </c>
      <c r="H1157" t="s">
        <v>29</v>
      </c>
      <c r="I1157" t="str">
        <f>"60453"</f>
        <v>60453</v>
      </c>
      <c r="J1157" t="s">
        <v>22</v>
      </c>
      <c r="K1157" t="s">
        <v>23</v>
      </c>
      <c r="L1157" s="2">
        <v>4438828</v>
      </c>
      <c r="M1157" s="2">
        <v>3738887</v>
      </c>
      <c r="N1157" s="2">
        <v>0</v>
      </c>
      <c r="O1157" s="2">
        <v>283568</v>
      </c>
      <c r="P1157" t="s">
        <v>24</v>
      </c>
      <c r="Q1157" t="s">
        <v>24</v>
      </c>
    </row>
    <row r="1158" spans="1:17" x14ac:dyDescent="0.25">
      <c r="A1158" t="s">
        <v>4066</v>
      </c>
      <c r="B1158" t="s">
        <v>4067</v>
      </c>
      <c r="C1158" s="1">
        <v>41275</v>
      </c>
      <c r="D1158" s="1">
        <v>41639</v>
      </c>
      <c r="E1158" t="s">
        <v>4068</v>
      </c>
      <c r="G1158" t="s">
        <v>371</v>
      </c>
      <c r="H1158" t="s">
        <v>29</v>
      </c>
      <c r="I1158" t="str">
        <f>"60062"</f>
        <v>60062</v>
      </c>
      <c r="J1158" t="s">
        <v>22</v>
      </c>
      <c r="K1158" t="s">
        <v>30</v>
      </c>
      <c r="L1158" s="2">
        <v>4436307</v>
      </c>
      <c r="M1158" s="2">
        <v>153397</v>
      </c>
      <c r="N1158" s="2">
        <v>4648</v>
      </c>
      <c r="O1158" s="2">
        <v>211538</v>
      </c>
      <c r="P1158" t="s">
        <v>24</v>
      </c>
      <c r="Q1158" t="s">
        <v>24</v>
      </c>
    </row>
    <row r="1159" spans="1:17" x14ac:dyDescent="0.25">
      <c r="A1159" t="s">
        <v>6251</v>
      </c>
      <c r="B1159" t="s">
        <v>6252</v>
      </c>
      <c r="C1159" s="1">
        <v>41275</v>
      </c>
      <c r="D1159" s="1">
        <v>41639</v>
      </c>
      <c r="E1159" t="s">
        <v>3321</v>
      </c>
      <c r="G1159" t="s">
        <v>353</v>
      </c>
      <c r="H1159" t="s">
        <v>62</v>
      </c>
      <c r="I1159" t="str">
        <f>"43216"</f>
        <v>43216</v>
      </c>
      <c r="J1159" t="s">
        <v>22</v>
      </c>
      <c r="K1159" t="s">
        <v>30</v>
      </c>
      <c r="L1159" s="2">
        <v>4410914</v>
      </c>
      <c r="M1159" s="2">
        <v>1726647</v>
      </c>
      <c r="N1159" s="2">
        <v>0</v>
      </c>
      <c r="O1159" s="2">
        <v>222943</v>
      </c>
      <c r="P1159" t="s">
        <v>24</v>
      </c>
      <c r="Q1159" t="s">
        <v>24</v>
      </c>
    </row>
    <row r="1160" spans="1:17" x14ac:dyDescent="0.25">
      <c r="A1160" t="s">
        <v>6792</v>
      </c>
      <c r="B1160" t="s">
        <v>6793</v>
      </c>
      <c r="C1160" s="1">
        <v>40909</v>
      </c>
      <c r="D1160" s="1">
        <v>41274</v>
      </c>
      <c r="E1160" t="s">
        <v>2905</v>
      </c>
      <c r="G1160" t="s">
        <v>432</v>
      </c>
      <c r="H1160" t="s">
        <v>47</v>
      </c>
      <c r="I1160" t="str">
        <f>"49422"</f>
        <v>49422</v>
      </c>
      <c r="J1160" t="s">
        <v>22</v>
      </c>
      <c r="K1160" t="s">
        <v>23</v>
      </c>
      <c r="L1160" s="2">
        <v>4404882</v>
      </c>
      <c r="M1160" s="2">
        <v>2623030</v>
      </c>
      <c r="N1160" s="2">
        <v>0</v>
      </c>
      <c r="O1160" s="2">
        <v>688351</v>
      </c>
      <c r="P1160" t="s">
        <v>24</v>
      </c>
      <c r="Q1160" t="s">
        <v>24</v>
      </c>
    </row>
    <row r="1161" spans="1:17" x14ac:dyDescent="0.25">
      <c r="A1161" t="s">
        <v>2973</v>
      </c>
      <c r="B1161" t="s">
        <v>2974</v>
      </c>
      <c r="C1161" s="1">
        <v>41275</v>
      </c>
      <c r="D1161" s="1">
        <v>41639</v>
      </c>
      <c r="E1161" t="s">
        <v>2975</v>
      </c>
      <c r="G1161" t="s">
        <v>2976</v>
      </c>
      <c r="H1161" t="s">
        <v>42</v>
      </c>
      <c r="I1161" t="str">
        <f>"54615"</f>
        <v>54615</v>
      </c>
      <c r="J1161" t="s">
        <v>63</v>
      </c>
      <c r="K1161" t="s">
        <v>64</v>
      </c>
      <c r="L1161" s="2">
        <v>4403301</v>
      </c>
      <c r="M1161" s="2">
        <v>532159</v>
      </c>
      <c r="N1161" s="2">
        <v>0</v>
      </c>
      <c r="O1161" s="2">
        <v>251743</v>
      </c>
      <c r="P1161" s="2">
        <v>33366</v>
      </c>
      <c r="Q1161" s="2">
        <v>0</v>
      </c>
    </row>
    <row r="1162" spans="1:17" x14ac:dyDescent="0.25">
      <c r="A1162" t="s">
        <v>5013</v>
      </c>
      <c r="B1162" t="s">
        <v>5014</v>
      </c>
      <c r="C1162" s="1">
        <v>41275</v>
      </c>
      <c r="D1162" s="1">
        <v>41639</v>
      </c>
      <c r="E1162" t="s">
        <v>5015</v>
      </c>
      <c r="G1162" t="s">
        <v>1339</v>
      </c>
      <c r="H1162" t="s">
        <v>47</v>
      </c>
      <c r="I1162" t="str">
        <f>"48084"</f>
        <v>48084</v>
      </c>
      <c r="J1162" t="s">
        <v>22</v>
      </c>
      <c r="K1162" t="s">
        <v>91</v>
      </c>
      <c r="L1162" s="2">
        <v>4394243</v>
      </c>
      <c r="M1162" s="2">
        <v>2448500</v>
      </c>
      <c r="N1162" s="2">
        <v>187625</v>
      </c>
      <c r="O1162" s="2">
        <v>1551016</v>
      </c>
      <c r="P1162" t="s">
        <v>24</v>
      </c>
      <c r="Q1162" t="s">
        <v>24</v>
      </c>
    </row>
    <row r="1163" spans="1:17" x14ac:dyDescent="0.25">
      <c r="A1163" t="s">
        <v>862</v>
      </c>
      <c r="B1163" t="s">
        <v>863</v>
      </c>
      <c r="C1163" s="1">
        <v>41244</v>
      </c>
      <c r="D1163" s="1">
        <v>41608</v>
      </c>
      <c r="E1163" t="s">
        <v>864</v>
      </c>
      <c r="G1163" t="s">
        <v>865</v>
      </c>
      <c r="H1163" t="s">
        <v>29</v>
      </c>
      <c r="I1163" t="str">
        <f>"60035"</f>
        <v>60035</v>
      </c>
      <c r="J1163" t="s">
        <v>22</v>
      </c>
      <c r="K1163" t="s">
        <v>30</v>
      </c>
      <c r="L1163" s="2">
        <v>4384594</v>
      </c>
      <c r="M1163" s="2">
        <v>2414035</v>
      </c>
      <c r="N1163" s="2">
        <v>0</v>
      </c>
      <c r="O1163" s="2">
        <v>328728</v>
      </c>
      <c r="P1163" t="s">
        <v>24</v>
      </c>
      <c r="Q1163" t="s">
        <v>24</v>
      </c>
    </row>
    <row r="1164" spans="1:17" x14ac:dyDescent="0.25">
      <c r="A1164" t="s">
        <v>866</v>
      </c>
      <c r="B1164" t="s">
        <v>867</v>
      </c>
      <c r="C1164" s="1">
        <v>41275</v>
      </c>
      <c r="D1164" s="1">
        <v>41639</v>
      </c>
      <c r="E1164" t="s">
        <v>868</v>
      </c>
      <c r="G1164" t="s">
        <v>869</v>
      </c>
      <c r="H1164" t="s">
        <v>29</v>
      </c>
      <c r="I1164" t="str">
        <f>"60018"</f>
        <v>60018</v>
      </c>
      <c r="J1164" t="s">
        <v>22</v>
      </c>
      <c r="K1164" t="s">
        <v>23</v>
      </c>
      <c r="L1164" s="2">
        <v>4378218</v>
      </c>
      <c r="M1164" s="2">
        <v>7314717</v>
      </c>
      <c r="N1164" s="2">
        <v>0</v>
      </c>
      <c r="O1164" s="2">
        <v>1213627</v>
      </c>
      <c r="P1164" t="s">
        <v>24</v>
      </c>
      <c r="Q1164" t="s">
        <v>24</v>
      </c>
    </row>
    <row r="1165" spans="1:17" x14ac:dyDescent="0.25">
      <c r="A1165" t="s">
        <v>2411</v>
      </c>
      <c r="B1165" t="s">
        <v>2412</v>
      </c>
      <c r="C1165" s="1">
        <v>41275</v>
      </c>
      <c r="D1165" s="1">
        <v>41639</v>
      </c>
      <c r="E1165" t="s">
        <v>2413</v>
      </c>
      <c r="G1165" t="s">
        <v>28</v>
      </c>
      <c r="H1165" t="s">
        <v>29</v>
      </c>
      <c r="I1165" t="str">
        <f>"60603"</f>
        <v>60603</v>
      </c>
      <c r="J1165" t="s">
        <v>22</v>
      </c>
      <c r="K1165" t="s">
        <v>23</v>
      </c>
      <c r="L1165" s="2">
        <v>4366777</v>
      </c>
      <c r="M1165" s="2">
        <v>2191309</v>
      </c>
      <c r="N1165" s="2">
        <v>0</v>
      </c>
      <c r="O1165" s="2">
        <v>235316</v>
      </c>
      <c r="P1165" t="s">
        <v>24</v>
      </c>
      <c r="Q1165" t="s">
        <v>24</v>
      </c>
    </row>
    <row r="1166" spans="1:17" x14ac:dyDescent="0.25">
      <c r="A1166" t="s">
        <v>1841</v>
      </c>
      <c r="B1166" t="s">
        <v>1842</v>
      </c>
      <c r="C1166" s="1">
        <v>40909</v>
      </c>
      <c r="D1166" s="1">
        <v>41274</v>
      </c>
      <c r="E1166" t="s">
        <v>1843</v>
      </c>
      <c r="G1166" t="s">
        <v>167</v>
      </c>
      <c r="H1166" t="s">
        <v>62</v>
      </c>
      <c r="I1166" t="str">
        <f>"45242"</f>
        <v>45242</v>
      </c>
      <c r="J1166" t="s">
        <v>22</v>
      </c>
      <c r="K1166" t="s">
        <v>23</v>
      </c>
      <c r="L1166" s="2">
        <v>4360004</v>
      </c>
      <c r="M1166" s="2">
        <v>461605</v>
      </c>
      <c r="N1166" s="2">
        <v>877</v>
      </c>
      <c r="O1166" s="2">
        <v>186244</v>
      </c>
      <c r="P1166" t="s">
        <v>24</v>
      </c>
      <c r="Q1166" t="s">
        <v>24</v>
      </c>
    </row>
    <row r="1167" spans="1:17" x14ac:dyDescent="0.25">
      <c r="A1167" t="s">
        <v>2165</v>
      </c>
      <c r="B1167" t="s">
        <v>2166</v>
      </c>
      <c r="C1167" s="1">
        <v>41275</v>
      </c>
      <c r="D1167" s="1">
        <v>41639</v>
      </c>
      <c r="E1167" t="s">
        <v>2167</v>
      </c>
      <c r="G1167" t="s">
        <v>2168</v>
      </c>
      <c r="H1167" t="s">
        <v>29</v>
      </c>
      <c r="I1167" t="str">
        <f>"60532"</f>
        <v>60532</v>
      </c>
      <c r="J1167" t="s">
        <v>22</v>
      </c>
      <c r="K1167" t="s">
        <v>23</v>
      </c>
      <c r="L1167" s="2">
        <v>4349204</v>
      </c>
      <c r="M1167" s="2">
        <v>2794289</v>
      </c>
      <c r="N1167" s="2">
        <v>0</v>
      </c>
      <c r="O1167" s="2">
        <v>814979</v>
      </c>
      <c r="P1167" t="s">
        <v>24</v>
      </c>
      <c r="Q1167" t="s">
        <v>24</v>
      </c>
    </row>
    <row r="1168" spans="1:17" x14ac:dyDescent="0.25">
      <c r="A1168" t="s">
        <v>656</v>
      </c>
      <c r="B1168" t="s">
        <v>657</v>
      </c>
      <c r="C1168" s="1">
        <v>41275</v>
      </c>
      <c r="D1168" s="1">
        <v>41639</v>
      </c>
      <c r="E1168" t="s">
        <v>658</v>
      </c>
      <c r="G1168" t="s">
        <v>659</v>
      </c>
      <c r="H1168" t="s">
        <v>47</v>
      </c>
      <c r="I1168" t="str">
        <f>"48034"</f>
        <v>48034</v>
      </c>
      <c r="J1168" t="s">
        <v>22</v>
      </c>
      <c r="K1168" t="s">
        <v>30</v>
      </c>
      <c r="L1168" s="2">
        <v>4340909</v>
      </c>
      <c r="M1168" s="2">
        <v>2860447</v>
      </c>
      <c r="N1168" s="2">
        <v>0</v>
      </c>
      <c r="O1168" s="2">
        <v>157771</v>
      </c>
      <c r="P1168" t="s">
        <v>24</v>
      </c>
      <c r="Q1168" t="s">
        <v>24</v>
      </c>
    </row>
    <row r="1169" spans="1:17" x14ac:dyDescent="0.25">
      <c r="A1169" t="s">
        <v>6253</v>
      </c>
      <c r="B1169" t="s">
        <v>6254</v>
      </c>
      <c r="C1169" s="1">
        <v>41275</v>
      </c>
      <c r="D1169" s="1">
        <v>41639</v>
      </c>
      <c r="E1169" t="s">
        <v>6255</v>
      </c>
      <c r="G1169" t="s">
        <v>6256</v>
      </c>
      <c r="H1169" t="s">
        <v>29</v>
      </c>
      <c r="I1169" t="str">
        <f>"60118"</f>
        <v>60118</v>
      </c>
      <c r="J1169" t="s">
        <v>22</v>
      </c>
      <c r="K1169" t="s">
        <v>23</v>
      </c>
      <c r="L1169" s="2">
        <v>4337220</v>
      </c>
      <c r="M1169" s="2">
        <v>3404531</v>
      </c>
      <c r="N1169" s="2">
        <v>0</v>
      </c>
      <c r="O1169" s="2">
        <v>210833</v>
      </c>
      <c r="P1169" t="s">
        <v>24</v>
      </c>
      <c r="Q1169" t="s">
        <v>24</v>
      </c>
    </row>
    <row r="1170" spans="1:17" x14ac:dyDescent="0.25">
      <c r="A1170" t="s">
        <v>518</v>
      </c>
      <c r="B1170" t="s">
        <v>519</v>
      </c>
      <c r="C1170" s="1">
        <v>41456</v>
      </c>
      <c r="D1170" s="1">
        <v>41820</v>
      </c>
      <c r="E1170" t="s">
        <v>520</v>
      </c>
      <c r="G1170" t="s">
        <v>521</v>
      </c>
      <c r="H1170" t="s">
        <v>62</v>
      </c>
      <c r="I1170" t="str">
        <f>"45420"</f>
        <v>45420</v>
      </c>
      <c r="J1170" t="s">
        <v>63</v>
      </c>
      <c r="K1170" t="s">
        <v>23</v>
      </c>
      <c r="L1170" s="2">
        <v>4320827</v>
      </c>
      <c r="M1170" s="2">
        <v>1579719</v>
      </c>
      <c r="N1170" s="2">
        <v>1597873</v>
      </c>
      <c r="O1170" s="2">
        <v>1424457</v>
      </c>
      <c r="P1170" s="2">
        <v>78918</v>
      </c>
      <c r="Q1170" s="2">
        <v>0</v>
      </c>
    </row>
    <row r="1171" spans="1:17" x14ac:dyDescent="0.25">
      <c r="A1171" t="s">
        <v>3133</v>
      </c>
      <c r="B1171" t="s">
        <v>3134</v>
      </c>
      <c r="C1171" s="1">
        <v>41275</v>
      </c>
      <c r="D1171" s="1">
        <v>41639</v>
      </c>
      <c r="E1171" t="s">
        <v>3135</v>
      </c>
      <c r="G1171" t="s">
        <v>3136</v>
      </c>
      <c r="H1171" t="s">
        <v>21</v>
      </c>
      <c r="I1171" t="str">
        <f>"47265"</f>
        <v>47265</v>
      </c>
      <c r="J1171" t="s">
        <v>63</v>
      </c>
      <c r="K1171" t="s">
        <v>64</v>
      </c>
      <c r="L1171" s="2">
        <v>4319856</v>
      </c>
      <c r="M1171" s="2">
        <v>584122</v>
      </c>
      <c r="N1171" s="2">
        <v>4294</v>
      </c>
      <c r="O1171" s="2">
        <v>476534</v>
      </c>
      <c r="P1171" s="2">
        <v>54033</v>
      </c>
      <c r="Q1171" s="2">
        <v>29413</v>
      </c>
    </row>
    <row r="1172" spans="1:17" x14ac:dyDescent="0.25">
      <c r="A1172" t="s">
        <v>5121</v>
      </c>
      <c r="B1172" t="s">
        <v>5122</v>
      </c>
      <c r="C1172" s="1">
        <v>41275</v>
      </c>
      <c r="D1172" s="1">
        <v>41639</v>
      </c>
      <c r="E1172" t="s">
        <v>5123</v>
      </c>
      <c r="G1172" t="s">
        <v>160</v>
      </c>
      <c r="H1172" t="s">
        <v>78</v>
      </c>
      <c r="I1172" t="str">
        <f>"40509"</f>
        <v>40509</v>
      </c>
      <c r="J1172" t="s">
        <v>22</v>
      </c>
      <c r="K1172" t="s">
        <v>23</v>
      </c>
      <c r="L1172" s="2">
        <v>4316960</v>
      </c>
      <c r="M1172" s="2">
        <v>2946812</v>
      </c>
      <c r="N1172" s="2">
        <v>0</v>
      </c>
      <c r="O1172" s="2">
        <v>64462</v>
      </c>
      <c r="P1172" t="s">
        <v>24</v>
      </c>
      <c r="Q1172" t="s">
        <v>24</v>
      </c>
    </row>
    <row r="1173" spans="1:17" x14ac:dyDescent="0.25">
      <c r="A1173" t="s">
        <v>3896</v>
      </c>
      <c r="B1173" t="s">
        <v>3897</v>
      </c>
      <c r="C1173" s="1">
        <v>41275</v>
      </c>
      <c r="D1173" s="1">
        <v>41639</v>
      </c>
      <c r="E1173" t="s">
        <v>3898</v>
      </c>
      <c r="G1173" t="s">
        <v>86</v>
      </c>
      <c r="H1173" t="s">
        <v>42</v>
      </c>
      <c r="I1173" t="str">
        <f>"53713"</f>
        <v>53713</v>
      </c>
      <c r="J1173" t="s">
        <v>22</v>
      </c>
      <c r="K1173" t="s">
        <v>79</v>
      </c>
      <c r="L1173" s="2">
        <v>4315804</v>
      </c>
      <c r="M1173" s="2">
        <v>2473541</v>
      </c>
      <c r="N1173" s="2">
        <v>1898</v>
      </c>
      <c r="O1173" s="2">
        <v>1130728</v>
      </c>
      <c r="P1173" t="s">
        <v>24</v>
      </c>
      <c r="Q1173" t="s">
        <v>24</v>
      </c>
    </row>
    <row r="1174" spans="1:17" x14ac:dyDescent="0.25">
      <c r="A1174" t="s">
        <v>4795</v>
      </c>
      <c r="B1174" t="s">
        <v>4796</v>
      </c>
      <c r="C1174" s="1">
        <v>41456</v>
      </c>
      <c r="D1174" s="1">
        <v>41820</v>
      </c>
      <c r="E1174" t="s">
        <v>4797</v>
      </c>
      <c r="G1174" t="s">
        <v>167</v>
      </c>
      <c r="H1174" t="s">
        <v>62</v>
      </c>
      <c r="I1174" t="str">
        <f>"45202"</f>
        <v>45202</v>
      </c>
      <c r="J1174" t="s">
        <v>22</v>
      </c>
      <c r="K1174" t="s">
        <v>30</v>
      </c>
      <c r="L1174" s="2">
        <v>4315264</v>
      </c>
      <c r="M1174" s="2">
        <v>498656</v>
      </c>
      <c r="N1174" s="2">
        <v>714</v>
      </c>
      <c r="O1174" s="2">
        <v>210119</v>
      </c>
      <c r="P1174" t="s">
        <v>24</v>
      </c>
      <c r="Q1174" t="s">
        <v>24</v>
      </c>
    </row>
    <row r="1175" spans="1:17" x14ac:dyDescent="0.25">
      <c r="A1175" t="s">
        <v>6549</v>
      </c>
      <c r="B1175" t="s">
        <v>6550</v>
      </c>
      <c r="C1175" s="1">
        <v>41275</v>
      </c>
      <c r="D1175" s="1">
        <v>41639</v>
      </c>
      <c r="E1175" t="s">
        <v>6551</v>
      </c>
      <c r="G1175" t="s">
        <v>6552</v>
      </c>
      <c r="H1175" t="s">
        <v>21</v>
      </c>
      <c r="I1175" t="str">
        <f>"46060"</f>
        <v>46060</v>
      </c>
      <c r="J1175" t="s">
        <v>22</v>
      </c>
      <c r="K1175" t="s">
        <v>91</v>
      </c>
      <c r="L1175" s="2">
        <v>4309000</v>
      </c>
      <c r="M1175" s="2">
        <v>2987937</v>
      </c>
      <c r="N1175" s="2">
        <v>1014</v>
      </c>
      <c r="O1175" s="2">
        <v>207397</v>
      </c>
      <c r="P1175" t="s">
        <v>24</v>
      </c>
      <c r="Q1175" t="s">
        <v>24</v>
      </c>
    </row>
    <row r="1176" spans="1:17" x14ac:dyDescent="0.25">
      <c r="A1176" t="s">
        <v>4495</v>
      </c>
      <c r="B1176" t="s">
        <v>4496</v>
      </c>
      <c r="C1176" s="1">
        <v>41244</v>
      </c>
      <c r="D1176" s="1">
        <v>41608</v>
      </c>
      <c r="E1176" t="s">
        <v>4497</v>
      </c>
      <c r="G1176" t="s">
        <v>4498</v>
      </c>
      <c r="H1176" t="s">
        <v>62</v>
      </c>
      <c r="I1176" t="str">
        <f>"45869"</f>
        <v>45869</v>
      </c>
      <c r="J1176" t="s">
        <v>63</v>
      </c>
      <c r="K1176" t="s">
        <v>64</v>
      </c>
      <c r="L1176" s="2">
        <v>4308937</v>
      </c>
      <c r="M1176" s="2">
        <v>310668</v>
      </c>
      <c r="N1176" s="2">
        <v>0</v>
      </c>
      <c r="O1176" s="2">
        <v>129210</v>
      </c>
      <c r="P1176" s="2">
        <v>44787</v>
      </c>
      <c r="Q1176" s="2">
        <v>0</v>
      </c>
    </row>
    <row r="1177" spans="1:17" x14ac:dyDescent="0.25">
      <c r="A1177" t="s">
        <v>4165</v>
      </c>
      <c r="B1177" t="s">
        <v>4166</v>
      </c>
      <c r="C1177" s="1">
        <v>41275</v>
      </c>
      <c r="D1177" s="1">
        <v>41639</v>
      </c>
      <c r="E1177" t="s">
        <v>4167</v>
      </c>
      <c r="G1177" t="s">
        <v>184</v>
      </c>
      <c r="H1177" t="s">
        <v>29</v>
      </c>
      <c r="I1177" t="str">
        <f>"60015"</f>
        <v>60015</v>
      </c>
      <c r="J1177" t="s">
        <v>22</v>
      </c>
      <c r="K1177" t="s">
        <v>30</v>
      </c>
      <c r="L1177" s="2">
        <v>4308327</v>
      </c>
      <c r="M1177" s="2">
        <v>8218290</v>
      </c>
      <c r="N1177" s="2">
        <v>0</v>
      </c>
      <c r="O1177" s="2">
        <v>266605</v>
      </c>
      <c r="P1177" t="s">
        <v>24</v>
      </c>
      <c r="Q1177" t="s">
        <v>24</v>
      </c>
    </row>
    <row r="1178" spans="1:17" x14ac:dyDescent="0.25">
      <c r="A1178" t="s">
        <v>2336</v>
      </c>
      <c r="B1178" t="s">
        <v>2337</v>
      </c>
      <c r="C1178" s="1">
        <v>41275</v>
      </c>
      <c r="D1178" s="1">
        <v>41547</v>
      </c>
      <c r="E1178" t="s">
        <v>2338</v>
      </c>
      <c r="G1178" t="s">
        <v>2339</v>
      </c>
      <c r="H1178" t="s">
        <v>42</v>
      </c>
      <c r="I1178" t="str">
        <f>"53213"</f>
        <v>53213</v>
      </c>
      <c r="J1178" t="s">
        <v>63</v>
      </c>
      <c r="K1178" t="s">
        <v>79</v>
      </c>
      <c r="L1178" s="2">
        <v>4296262</v>
      </c>
      <c r="M1178" s="2">
        <v>5508187</v>
      </c>
      <c r="N1178" s="2">
        <v>0</v>
      </c>
      <c r="O1178" s="2">
        <v>1215058</v>
      </c>
      <c r="P1178" s="2">
        <v>5981</v>
      </c>
      <c r="Q1178" s="2">
        <v>0</v>
      </c>
    </row>
    <row r="1179" spans="1:17" x14ac:dyDescent="0.25">
      <c r="A1179" t="s">
        <v>3408</v>
      </c>
      <c r="B1179" t="s">
        <v>3409</v>
      </c>
      <c r="C1179" s="1">
        <v>41609</v>
      </c>
      <c r="D1179" s="1">
        <v>41973</v>
      </c>
      <c r="E1179" t="s">
        <v>3410</v>
      </c>
      <c r="G1179" t="s">
        <v>974</v>
      </c>
      <c r="H1179" t="s">
        <v>21</v>
      </c>
      <c r="I1179" t="str">
        <f>"47805"</f>
        <v>47805</v>
      </c>
      <c r="J1179" t="s">
        <v>22</v>
      </c>
      <c r="K1179" t="s">
        <v>30</v>
      </c>
      <c r="L1179" s="2">
        <v>4272369</v>
      </c>
      <c r="M1179" s="2">
        <v>885353</v>
      </c>
      <c r="N1179" s="2">
        <v>0</v>
      </c>
      <c r="O1179" s="2">
        <v>160949</v>
      </c>
      <c r="P1179" t="s">
        <v>24</v>
      </c>
      <c r="Q1179" t="s">
        <v>24</v>
      </c>
    </row>
    <row r="1180" spans="1:17" x14ac:dyDescent="0.25">
      <c r="A1180" t="s">
        <v>924</v>
      </c>
      <c r="B1180" t="s">
        <v>925</v>
      </c>
      <c r="C1180" s="1">
        <v>41091</v>
      </c>
      <c r="D1180" s="1">
        <v>41455</v>
      </c>
      <c r="E1180" t="s">
        <v>926</v>
      </c>
      <c r="G1180" t="s">
        <v>28</v>
      </c>
      <c r="H1180" t="s">
        <v>29</v>
      </c>
      <c r="I1180" t="str">
        <f>"60637"</f>
        <v>60637</v>
      </c>
      <c r="J1180" t="s">
        <v>63</v>
      </c>
      <c r="K1180" t="s">
        <v>79</v>
      </c>
      <c r="L1180" s="2">
        <v>4258860</v>
      </c>
      <c r="M1180" s="2">
        <v>1186441</v>
      </c>
      <c r="N1180" s="2">
        <v>1560434</v>
      </c>
      <c r="O1180" s="2">
        <v>260210</v>
      </c>
      <c r="P1180" s="2">
        <v>56600</v>
      </c>
      <c r="Q1180" s="2">
        <v>173610</v>
      </c>
    </row>
    <row r="1181" spans="1:17" x14ac:dyDescent="0.25">
      <c r="A1181" t="s">
        <v>7612</v>
      </c>
      <c r="B1181" t="s">
        <v>7613</v>
      </c>
      <c r="C1181" s="1">
        <v>40909</v>
      </c>
      <c r="D1181" s="1">
        <v>41274</v>
      </c>
      <c r="E1181" t="s">
        <v>7614</v>
      </c>
      <c r="G1181" t="s">
        <v>3775</v>
      </c>
      <c r="H1181" t="s">
        <v>62</v>
      </c>
      <c r="I1181" t="str">
        <f>"44023"</f>
        <v>44023</v>
      </c>
      <c r="J1181" t="s">
        <v>22</v>
      </c>
      <c r="K1181" t="s">
        <v>30</v>
      </c>
      <c r="L1181" s="2">
        <v>4246888</v>
      </c>
      <c r="M1181" s="2">
        <v>3271608</v>
      </c>
      <c r="N1181" s="2">
        <v>0</v>
      </c>
      <c r="O1181" s="2">
        <v>241701</v>
      </c>
      <c r="P1181" t="s">
        <v>24</v>
      </c>
      <c r="Q1181" t="s">
        <v>24</v>
      </c>
    </row>
    <row r="1182" spans="1:17" x14ac:dyDescent="0.25">
      <c r="A1182" t="s">
        <v>7755</v>
      </c>
      <c r="B1182" t="s">
        <v>7756</v>
      </c>
      <c r="C1182" s="1">
        <v>41275</v>
      </c>
      <c r="D1182" s="1">
        <v>41639</v>
      </c>
      <c r="E1182" t="s">
        <v>7757</v>
      </c>
      <c r="G1182" t="s">
        <v>7758</v>
      </c>
      <c r="H1182" t="s">
        <v>42</v>
      </c>
      <c r="I1182" t="str">
        <f>"54963"</f>
        <v>54963</v>
      </c>
      <c r="J1182" t="s">
        <v>22</v>
      </c>
      <c r="K1182" t="s">
        <v>23</v>
      </c>
      <c r="L1182" s="2">
        <v>4246479</v>
      </c>
      <c r="M1182" s="2">
        <v>9094240</v>
      </c>
      <c r="N1182" s="2">
        <v>0</v>
      </c>
      <c r="O1182" s="2">
        <v>304399</v>
      </c>
      <c r="P1182" t="s">
        <v>24</v>
      </c>
      <c r="Q1182" t="s">
        <v>24</v>
      </c>
    </row>
    <row r="1183" spans="1:17" x14ac:dyDescent="0.25">
      <c r="A1183" t="s">
        <v>4785</v>
      </c>
      <c r="B1183" t="s">
        <v>4786</v>
      </c>
      <c r="C1183" s="1">
        <v>41275</v>
      </c>
      <c r="D1183" s="1">
        <v>41639</v>
      </c>
      <c r="E1183" t="s">
        <v>1814</v>
      </c>
      <c r="G1183" t="s">
        <v>2081</v>
      </c>
      <c r="H1183" t="s">
        <v>47</v>
      </c>
      <c r="I1183" t="str">
        <f>"48471"</f>
        <v>48471</v>
      </c>
      <c r="J1183" t="s">
        <v>63</v>
      </c>
      <c r="K1183" t="s">
        <v>64</v>
      </c>
      <c r="L1183" s="2">
        <v>4238880</v>
      </c>
      <c r="M1183" s="2">
        <v>337592</v>
      </c>
      <c r="N1183" s="2">
        <v>313224</v>
      </c>
      <c r="O1183" s="2">
        <v>258306</v>
      </c>
      <c r="P1183" s="2">
        <v>60675</v>
      </c>
      <c r="Q1183" s="2">
        <v>0</v>
      </c>
    </row>
    <row r="1184" spans="1:17" x14ac:dyDescent="0.25">
      <c r="A1184" t="s">
        <v>3070</v>
      </c>
      <c r="B1184" t="s">
        <v>3071</v>
      </c>
      <c r="C1184" s="1">
        <v>41456</v>
      </c>
      <c r="D1184" s="1">
        <v>41820</v>
      </c>
      <c r="E1184" t="s">
        <v>3072</v>
      </c>
      <c r="G1184" t="s">
        <v>28</v>
      </c>
      <c r="H1184" t="s">
        <v>29</v>
      </c>
      <c r="I1184" t="str">
        <f>"60603"</f>
        <v>60603</v>
      </c>
      <c r="J1184" t="s">
        <v>22</v>
      </c>
      <c r="K1184" t="s">
        <v>23</v>
      </c>
      <c r="L1184" s="2">
        <v>4235734</v>
      </c>
      <c r="M1184" s="2">
        <v>1840788</v>
      </c>
      <c r="N1184" s="2">
        <v>0</v>
      </c>
      <c r="O1184" s="2">
        <v>203803</v>
      </c>
      <c r="P1184" t="s">
        <v>24</v>
      </c>
      <c r="Q1184" t="s">
        <v>24</v>
      </c>
    </row>
    <row r="1185" spans="1:17" x14ac:dyDescent="0.25">
      <c r="A1185" t="s">
        <v>2392</v>
      </c>
      <c r="B1185" t="s">
        <v>2393</v>
      </c>
      <c r="C1185" s="1">
        <v>41275</v>
      </c>
      <c r="D1185" s="1">
        <v>41639</v>
      </c>
      <c r="E1185" t="s">
        <v>2394</v>
      </c>
      <c r="G1185" t="s">
        <v>357</v>
      </c>
      <c r="H1185" t="s">
        <v>21</v>
      </c>
      <c r="I1185" t="str">
        <f>"46802"</f>
        <v>46802</v>
      </c>
      <c r="J1185" t="s">
        <v>22</v>
      </c>
      <c r="K1185" t="s">
        <v>23</v>
      </c>
      <c r="L1185" s="2">
        <v>4232106</v>
      </c>
      <c r="M1185" s="2">
        <v>1158143</v>
      </c>
      <c r="N1185" s="2">
        <v>0</v>
      </c>
      <c r="O1185" s="2">
        <v>236742</v>
      </c>
      <c r="P1185" t="s">
        <v>24</v>
      </c>
      <c r="Q1185" t="s">
        <v>24</v>
      </c>
    </row>
    <row r="1186" spans="1:17" x14ac:dyDescent="0.25">
      <c r="A1186" t="s">
        <v>4882</v>
      </c>
      <c r="B1186" t="s">
        <v>4883</v>
      </c>
      <c r="C1186" s="1">
        <v>41061</v>
      </c>
      <c r="D1186" s="1">
        <v>41425</v>
      </c>
      <c r="E1186" t="s">
        <v>4884</v>
      </c>
      <c r="F1186" t="s">
        <v>4885</v>
      </c>
      <c r="G1186" t="s">
        <v>28</v>
      </c>
      <c r="H1186" t="s">
        <v>29</v>
      </c>
      <c r="I1186" t="str">
        <f>"60604"</f>
        <v>60604</v>
      </c>
      <c r="J1186" t="s">
        <v>63</v>
      </c>
      <c r="K1186" t="s">
        <v>79</v>
      </c>
      <c r="L1186" s="2">
        <v>4225083</v>
      </c>
      <c r="M1186" s="2">
        <v>5216845</v>
      </c>
      <c r="N1186" s="2">
        <v>556483</v>
      </c>
      <c r="O1186" s="2">
        <v>6274193</v>
      </c>
      <c r="P1186" s="2">
        <v>360711</v>
      </c>
      <c r="Q1186" s="2">
        <v>265792</v>
      </c>
    </row>
    <row r="1187" spans="1:17" x14ac:dyDescent="0.25">
      <c r="A1187" t="s">
        <v>6662</v>
      </c>
      <c r="B1187" t="s">
        <v>6663</v>
      </c>
      <c r="C1187" s="1">
        <v>41275</v>
      </c>
      <c r="D1187" s="1">
        <v>41639</v>
      </c>
      <c r="E1187" t="s">
        <v>6664</v>
      </c>
      <c r="G1187" t="s">
        <v>167</v>
      </c>
      <c r="H1187" t="s">
        <v>62</v>
      </c>
      <c r="I1187" t="str">
        <f>"45202"</f>
        <v>45202</v>
      </c>
      <c r="J1187" t="s">
        <v>22</v>
      </c>
      <c r="K1187" t="s">
        <v>91</v>
      </c>
      <c r="L1187" s="2">
        <v>4220861</v>
      </c>
      <c r="M1187" s="2">
        <v>9056847</v>
      </c>
      <c r="N1187" s="2">
        <v>0</v>
      </c>
      <c r="O1187" s="2">
        <v>1157158</v>
      </c>
      <c r="P1187" t="s">
        <v>24</v>
      </c>
      <c r="Q1187" t="s">
        <v>24</v>
      </c>
    </row>
    <row r="1188" spans="1:17" x14ac:dyDescent="0.25">
      <c r="A1188" t="s">
        <v>5528</v>
      </c>
      <c r="B1188" t="s">
        <v>5529</v>
      </c>
      <c r="C1188" s="1">
        <v>41275</v>
      </c>
      <c r="D1188" s="1">
        <v>41639</v>
      </c>
      <c r="E1188" t="s">
        <v>5530</v>
      </c>
      <c r="G1188" t="s">
        <v>337</v>
      </c>
      <c r="H1188" t="s">
        <v>62</v>
      </c>
      <c r="I1188" t="str">
        <f>"44115"</f>
        <v>44115</v>
      </c>
      <c r="J1188" t="s">
        <v>22</v>
      </c>
      <c r="K1188" t="s">
        <v>30</v>
      </c>
      <c r="L1188" s="2">
        <v>4218938</v>
      </c>
      <c r="M1188" s="2">
        <v>1950341</v>
      </c>
      <c r="N1188" s="2">
        <v>0</v>
      </c>
      <c r="O1188" s="2">
        <v>507018</v>
      </c>
      <c r="P1188" t="s">
        <v>24</v>
      </c>
      <c r="Q1188" t="s">
        <v>24</v>
      </c>
    </row>
    <row r="1189" spans="1:17" x14ac:dyDescent="0.25">
      <c r="A1189" t="s">
        <v>3375</v>
      </c>
      <c r="B1189" t="s">
        <v>3376</v>
      </c>
      <c r="E1189" t="s">
        <v>3377</v>
      </c>
      <c r="F1189" t="s">
        <v>3378</v>
      </c>
      <c r="G1189" t="s">
        <v>41</v>
      </c>
      <c r="H1189" t="s">
        <v>42</v>
      </c>
      <c r="I1189" t="str">
        <f>"53201"</f>
        <v>53201</v>
      </c>
      <c r="J1189" t="s">
        <v>22</v>
      </c>
      <c r="K1189" t="s">
        <v>30</v>
      </c>
      <c r="L1189" s="2">
        <v>4210960</v>
      </c>
      <c r="M1189" s="2">
        <v>4419532</v>
      </c>
      <c r="N1189" s="2">
        <v>0</v>
      </c>
      <c r="O1189" t="s">
        <v>24</v>
      </c>
      <c r="P1189" t="s">
        <v>24</v>
      </c>
      <c r="Q1189" t="s">
        <v>24</v>
      </c>
    </row>
    <row r="1190" spans="1:17" x14ac:dyDescent="0.25">
      <c r="A1190" t="s">
        <v>4020</v>
      </c>
      <c r="B1190" t="s">
        <v>4021</v>
      </c>
      <c r="C1190" s="1">
        <v>41275</v>
      </c>
      <c r="D1190" s="1">
        <v>41639</v>
      </c>
      <c r="E1190" t="s">
        <v>4022</v>
      </c>
      <c r="G1190" t="s">
        <v>364</v>
      </c>
      <c r="H1190" t="s">
        <v>21</v>
      </c>
      <c r="I1190" t="str">
        <f>"47725"</f>
        <v>47725</v>
      </c>
      <c r="J1190" t="s">
        <v>22</v>
      </c>
      <c r="K1190" t="s">
        <v>23</v>
      </c>
      <c r="L1190" s="2">
        <v>4203099</v>
      </c>
      <c r="M1190" s="2">
        <v>4683041</v>
      </c>
      <c r="N1190" s="2">
        <v>0</v>
      </c>
      <c r="O1190" s="2">
        <v>228933</v>
      </c>
      <c r="P1190" t="s">
        <v>24</v>
      </c>
      <c r="Q1190" t="s">
        <v>24</v>
      </c>
    </row>
    <row r="1191" spans="1:17" x14ac:dyDescent="0.25">
      <c r="A1191" t="s">
        <v>7135</v>
      </c>
      <c r="B1191" t="s">
        <v>7136</v>
      </c>
      <c r="C1191" s="1">
        <v>41275</v>
      </c>
      <c r="D1191" s="1">
        <v>41639</v>
      </c>
      <c r="E1191" t="s">
        <v>104</v>
      </c>
      <c r="G1191" t="s">
        <v>28</v>
      </c>
      <c r="H1191" t="s">
        <v>29</v>
      </c>
      <c r="I1191" t="str">
        <f>"60680"</f>
        <v>60680</v>
      </c>
      <c r="J1191" t="s">
        <v>22</v>
      </c>
      <c r="K1191" t="s">
        <v>30</v>
      </c>
      <c r="L1191" s="2">
        <v>4202988</v>
      </c>
      <c r="M1191" s="2">
        <v>1440590</v>
      </c>
      <c r="N1191" s="2">
        <v>0</v>
      </c>
      <c r="O1191" s="2">
        <v>958291</v>
      </c>
      <c r="P1191" t="s">
        <v>24</v>
      </c>
      <c r="Q1191" t="s">
        <v>24</v>
      </c>
    </row>
    <row r="1192" spans="1:17" x14ac:dyDescent="0.25">
      <c r="A1192" t="s">
        <v>5245</v>
      </c>
      <c r="B1192" t="s">
        <v>5246</v>
      </c>
      <c r="C1192" s="1">
        <v>41306</v>
      </c>
      <c r="D1192" s="1">
        <v>41670</v>
      </c>
      <c r="E1192" t="s">
        <v>104</v>
      </c>
      <c r="G1192" t="s">
        <v>28</v>
      </c>
      <c r="H1192" t="s">
        <v>29</v>
      </c>
      <c r="I1192" t="str">
        <f>"60680"</f>
        <v>60680</v>
      </c>
      <c r="J1192" t="s">
        <v>22</v>
      </c>
      <c r="K1192" t="s">
        <v>30</v>
      </c>
      <c r="L1192" s="2">
        <v>4198338</v>
      </c>
      <c r="M1192" s="2">
        <v>690641</v>
      </c>
      <c r="N1192" s="2">
        <v>0</v>
      </c>
      <c r="O1192" s="2">
        <v>306258</v>
      </c>
      <c r="P1192" t="s">
        <v>24</v>
      </c>
      <c r="Q1192" t="s">
        <v>24</v>
      </c>
    </row>
    <row r="1193" spans="1:17" x14ac:dyDescent="0.25">
      <c r="A1193" t="s">
        <v>3609</v>
      </c>
      <c r="B1193" t="s">
        <v>3610</v>
      </c>
      <c r="C1193" s="1">
        <v>41275</v>
      </c>
      <c r="D1193" s="1">
        <v>41639</v>
      </c>
      <c r="E1193" t="s">
        <v>3611</v>
      </c>
      <c r="G1193" t="s">
        <v>1339</v>
      </c>
      <c r="H1193" t="s">
        <v>47</v>
      </c>
      <c r="I1193" t="str">
        <f>"48084"</f>
        <v>48084</v>
      </c>
      <c r="J1193" t="s">
        <v>22</v>
      </c>
      <c r="K1193" t="s">
        <v>23</v>
      </c>
      <c r="L1193" s="2">
        <v>4196832</v>
      </c>
      <c r="M1193" s="2">
        <v>2202845</v>
      </c>
      <c r="N1193" s="2">
        <v>0</v>
      </c>
      <c r="O1193" s="2">
        <v>273099</v>
      </c>
      <c r="P1193" t="s">
        <v>24</v>
      </c>
      <c r="Q1193" t="s">
        <v>24</v>
      </c>
    </row>
    <row r="1194" spans="1:17" x14ac:dyDescent="0.25">
      <c r="A1194" t="s">
        <v>3821</v>
      </c>
      <c r="B1194" t="s">
        <v>3822</v>
      </c>
      <c r="C1194" s="1">
        <v>41275</v>
      </c>
      <c r="D1194" s="1">
        <v>41639</v>
      </c>
      <c r="E1194" t="s">
        <v>3823</v>
      </c>
      <c r="G1194" t="s">
        <v>86</v>
      </c>
      <c r="H1194" t="s">
        <v>42</v>
      </c>
      <c r="I1194" t="str">
        <f>"53703"</f>
        <v>53703</v>
      </c>
      <c r="J1194" t="s">
        <v>22</v>
      </c>
      <c r="K1194" t="s">
        <v>30</v>
      </c>
      <c r="L1194" s="2">
        <v>4190955</v>
      </c>
      <c r="M1194" s="2">
        <v>328516</v>
      </c>
      <c r="N1194" s="2">
        <v>137510</v>
      </c>
      <c r="O1194" s="2">
        <v>428564</v>
      </c>
      <c r="P1194" t="s">
        <v>24</v>
      </c>
      <c r="Q1194" t="s">
        <v>24</v>
      </c>
    </row>
    <row r="1195" spans="1:17" x14ac:dyDescent="0.25">
      <c r="A1195" t="s">
        <v>7250</v>
      </c>
      <c r="B1195" t="s">
        <v>7251</v>
      </c>
      <c r="C1195" s="1">
        <v>41456</v>
      </c>
      <c r="D1195" s="1">
        <v>41820</v>
      </c>
      <c r="E1195" t="s">
        <v>7252</v>
      </c>
      <c r="G1195" t="s">
        <v>1517</v>
      </c>
      <c r="H1195" t="s">
        <v>29</v>
      </c>
      <c r="I1195" t="str">
        <f>"60173"</f>
        <v>60173</v>
      </c>
      <c r="J1195" t="s">
        <v>22</v>
      </c>
      <c r="K1195" t="s">
        <v>30</v>
      </c>
      <c r="L1195" s="2">
        <v>4186721</v>
      </c>
      <c r="M1195" s="2">
        <v>2103663</v>
      </c>
      <c r="N1195" s="2">
        <v>0</v>
      </c>
      <c r="O1195" s="2">
        <v>343127</v>
      </c>
      <c r="P1195" t="s">
        <v>24</v>
      </c>
      <c r="Q1195" t="s">
        <v>24</v>
      </c>
    </row>
    <row r="1196" spans="1:17" x14ac:dyDescent="0.25">
      <c r="A1196" t="s">
        <v>5853</v>
      </c>
      <c r="B1196" t="s">
        <v>5854</v>
      </c>
      <c r="C1196" s="1">
        <v>41365</v>
      </c>
      <c r="D1196" s="1">
        <v>41729</v>
      </c>
      <c r="E1196" t="s">
        <v>1959</v>
      </c>
      <c r="G1196" t="s">
        <v>829</v>
      </c>
      <c r="H1196" t="s">
        <v>62</v>
      </c>
      <c r="I1196" t="str">
        <f>"43699"</f>
        <v>43699</v>
      </c>
      <c r="J1196" t="s">
        <v>22</v>
      </c>
      <c r="K1196" t="s">
        <v>23</v>
      </c>
      <c r="L1196" s="2">
        <v>4183297</v>
      </c>
      <c r="M1196" s="2">
        <v>923398</v>
      </c>
      <c r="N1196" s="2">
        <v>0</v>
      </c>
      <c r="O1196" s="2">
        <v>269957</v>
      </c>
      <c r="P1196" t="s">
        <v>24</v>
      </c>
      <c r="Q1196" t="s">
        <v>24</v>
      </c>
    </row>
    <row r="1197" spans="1:17" x14ac:dyDescent="0.25">
      <c r="A1197" t="s">
        <v>6710</v>
      </c>
      <c r="B1197" t="s">
        <v>6711</v>
      </c>
      <c r="C1197" s="1">
        <v>41275</v>
      </c>
      <c r="D1197" s="1">
        <v>41639</v>
      </c>
      <c r="E1197" t="s">
        <v>6712</v>
      </c>
      <c r="G1197" t="s">
        <v>77</v>
      </c>
      <c r="H1197" t="s">
        <v>78</v>
      </c>
      <c r="I1197" t="str">
        <f>"40207"</f>
        <v>40207</v>
      </c>
      <c r="J1197" t="s">
        <v>22</v>
      </c>
      <c r="K1197" t="s">
        <v>23</v>
      </c>
      <c r="L1197" s="2">
        <v>4182323</v>
      </c>
      <c r="M1197" s="2">
        <v>2988378</v>
      </c>
      <c r="N1197" s="2">
        <v>0</v>
      </c>
      <c r="O1197" s="2">
        <v>220607</v>
      </c>
      <c r="P1197" t="s">
        <v>24</v>
      </c>
      <c r="Q1197" t="s">
        <v>24</v>
      </c>
    </row>
    <row r="1198" spans="1:17" x14ac:dyDescent="0.25">
      <c r="A1198" t="s">
        <v>6740</v>
      </c>
      <c r="B1198" t="s">
        <v>6741</v>
      </c>
      <c r="C1198" s="1">
        <v>41275</v>
      </c>
      <c r="D1198" s="1">
        <v>41639</v>
      </c>
      <c r="E1198" t="s">
        <v>6742</v>
      </c>
      <c r="G1198" t="s">
        <v>1678</v>
      </c>
      <c r="H1198" t="s">
        <v>62</v>
      </c>
      <c r="I1198" t="str">
        <f>"44139"</f>
        <v>44139</v>
      </c>
      <c r="J1198" t="s">
        <v>22</v>
      </c>
      <c r="K1198" t="s">
        <v>91</v>
      </c>
      <c r="L1198" s="2">
        <v>4177584</v>
      </c>
      <c r="M1198" s="2">
        <v>1811082</v>
      </c>
      <c r="N1198" s="2">
        <v>0</v>
      </c>
      <c r="O1198" s="2">
        <v>680156</v>
      </c>
      <c r="P1198" t="s">
        <v>24</v>
      </c>
      <c r="Q1198" t="s">
        <v>24</v>
      </c>
    </row>
    <row r="1199" spans="1:17" x14ac:dyDescent="0.25">
      <c r="A1199" t="s">
        <v>3276</v>
      </c>
      <c r="B1199" t="s">
        <v>3277</v>
      </c>
      <c r="C1199" s="1">
        <v>41183</v>
      </c>
      <c r="D1199" s="1">
        <v>41547</v>
      </c>
      <c r="E1199" t="s">
        <v>104</v>
      </c>
      <c r="G1199" t="s">
        <v>28</v>
      </c>
      <c r="H1199" t="s">
        <v>29</v>
      </c>
      <c r="I1199" t="str">
        <f>"60680"</f>
        <v>60680</v>
      </c>
      <c r="J1199" s="3" t="s">
        <v>109</v>
      </c>
      <c r="K1199" t="s">
        <v>91</v>
      </c>
      <c r="L1199" s="2">
        <v>4169389</v>
      </c>
      <c r="M1199" s="2">
        <v>1379598</v>
      </c>
      <c r="N1199" s="2">
        <v>0</v>
      </c>
      <c r="O1199" s="2">
        <v>220070</v>
      </c>
      <c r="P1199" t="s">
        <v>24</v>
      </c>
      <c r="Q1199" t="s">
        <v>24</v>
      </c>
    </row>
    <row r="1200" spans="1:17" x14ac:dyDescent="0.25">
      <c r="A1200" t="s">
        <v>570</v>
      </c>
      <c r="B1200" t="s">
        <v>571</v>
      </c>
      <c r="C1200" s="1">
        <v>41275</v>
      </c>
      <c r="D1200" s="1">
        <v>41639</v>
      </c>
      <c r="E1200" t="s">
        <v>572</v>
      </c>
      <c r="G1200" t="s">
        <v>86</v>
      </c>
      <c r="H1200" t="s">
        <v>42</v>
      </c>
      <c r="I1200" t="str">
        <f>"53701"</f>
        <v>53701</v>
      </c>
      <c r="J1200" t="s">
        <v>22</v>
      </c>
      <c r="K1200" t="s">
        <v>23</v>
      </c>
      <c r="L1200" s="2">
        <v>4165238</v>
      </c>
      <c r="M1200" s="2">
        <v>972967</v>
      </c>
      <c r="N1200" s="2">
        <v>0</v>
      </c>
      <c r="O1200" s="2">
        <v>216299</v>
      </c>
      <c r="P1200" t="s">
        <v>24</v>
      </c>
      <c r="Q1200" t="s">
        <v>24</v>
      </c>
    </row>
    <row r="1201" spans="1:17" x14ac:dyDescent="0.25">
      <c r="A1201" t="s">
        <v>7422</v>
      </c>
      <c r="B1201" t="s">
        <v>7423</v>
      </c>
      <c r="C1201" s="1">
        <v>41275</v>
      </c>
      <c r="D1201" s="1">
        <v>41639</v>
      </c>
      <c r="E1201" t="s">
        <v>7424</v>
      </c>
      <c r="G1201" t="s">
        <v>73</v>
      </c>
      <c r="H1201" t="s">
        <v>47</v>
      </c>
      <c r="I1201" t="str">
        <f>"49286"</f>
        <v>49286</v>
      </c>
      <c r="J1201" t="s">
        <v>22</v>
      </c>
      <c r="K1201" t="s">
        <v>30</v>
      </c>
      <c r="L1201" s="2">
        <v>4155896</v>
      </c>
      <c r="M1201" s="2">
        <v>1559217</v>
      </c>
      <c r="N1201" s="2">
        <v>0</v>
      </c>
      <c r="O1201" s="2">
        <v>207694</v>
      </c>
      <c r="P1201" t="s">
        <v>24</v>
      </c>
      <c r="Q1201" t="s">
        <v>24</v>
      </c>
    </row>
    <row r="1202" spans="1:17" x14ac:dyDescent="0.25">
      <c r="A1202" t="s">
        <v>6905</v>
      </c>
      <c r="B1202" t="s">
        <v>6906</v>
      </c>
      <c r="C1202" s="1">
        <v>41091</v>
      </c>
      <c r="D1202" s="1">
        <v>41455</v>
      </c>
      <c r="E1202" t="s">
        <v>6907</v>
      </c>
      <c r="G1202" t="s">
        <v>229</v>
      </c>
      <c r="H1202" t="s">
        <v>29</v>
      </c>
      <c r="I1202" t="str">
        <f>"61602"</f>
        <v>61602</v>
      </c>
      <c r="J1202" t="s">
        <v>22</v>
      </c>
      <c r="K1202" t="s">
        <v>64</v>
      </c>
      <c r="L1202" s="2">
        <v>4154123</v>
      </c>
      <c r="M1202" s="2">
        <v>3853846</v>
      </c>
      <c r="N1202" s="2">
        <v>724</v>
      </c>
      <c r="O1202" s="2">
        <v>3856661</v>
      </c>
      <c r="P1202" t="s">
        <v>24</v>
      </c>
      <c r="Q1202" t="s">
        <v>24</v>
      </c>
    </row>
    <row r="1203" spans="1:17" x14ac:dyDescent="0.25">
      <c r="A1203" t="s">
        <v>5783</v>
      </c>
      <c r="B1203" t="s">
        <v>5784</v>
      </c>
      <c r="C1203" s="1">
        <v>41275</v>
      </c>
      <c r="D1203" s="1">
        <v>41639</v>
      </c>
      <c r="E1203" t="s">
        <v>5785</v>
      </c>
      <c r="G1203" t="s">
        <v>517</v>
      </c>
      <c r="H1203" t="s">
        <v>62</v>
      </c>
      <c r="I1203" t="str">
        <f>"45402"</f>
        <v>45402</v>
      </c>
      <c r="J1203" t="s">
        <v>22</v>
      </c>
      <c r="K1203" t="s">
        <v>23</v>
      </c>
      <c r="L1203" s="2">
        <v>4143220</v>
      </c>
      <c r="M1203" s="2">
        <v>670517</v>
      </c>
      <c r="N1203" s="2">
        <v>0</v>
      </c>
      <c r="O1203" s="2">
        <v>245060</v>
      </c>
      <c r="P1203" t="s">
        <v>24</v>
      </c>
      <c r="Q1203" t="s">
        <v>24</v>
      </c>
    </row>
    <row r="1204" spans="1:17" x14ac:dyDescent="0.25">
      <c r="A1204" t="s">
        <v>1343</v>
      </c>
      <c r="B1204" t="s">
        <v>1344</v>
      </c>
      <c r="C1204" s="1">
        <v>41030</v>
      </c>
      <c r="D1204" s="1">
        <v>41394</v>
      </c>
      <c r="E1204" t="s">
        <v>50</v>
      </c>
      <c r="G1204" t="s">
        <v>28</v>
      </c>
      <c r="H1204" t="s">
        <v>29</v>
      </c>
      <c r="I1204" t="str">
        <f>"60603"</f>
        <v>60603</v>
      </c>
      <c r="J1204" t="s">
        <v>22</v>
      </c>
      <c r="K1204" t="s">
        <v>30</v>
      </c>
      <c r="L1204" s="2">
        <v>4143141</v>
      </c>
      <c r="M1204" s="2">
        <v>1464874</v>
      </c>
      <c r="N1204" s="2">
        <v>0</v>
      </c>
      <c r="O1204" s="2">
        <v>221190</v>
      </c>
      <c r="P1204" t="s">
        <v>24</v>
      </c>
      <c r="Q1204" t="s">
        <v>24</v>
      </c>
    </row>
    <row r="1205" spans="1:17" x14ac:dyDescent="0.25">
      <c r="A1205" t="s">
        <v>7417</v>
      </c>
      <c r="B1205" t="s">
        <v>7418</v>
      </c>
      <c r="C1205" s="1">
        <v>41275</v>
      </c>
      <c r="D1205" s="1">
        <v>41639</v>
      </c>
      <c r="E1205" t="s">
        <v>50</v>
      </c>
      <c r="G1205" t="s">
        <v>28</v>
      </c>
      <c r="H1205" t="s">
        <v>29</v>
      </c>
      <c r="I1205" t="str">
        <f>"60603"</f>
        <v>60603</v>
      </c>
      <c r="J1205" t="s">
        <v>22</v>
      </c>
      <c r="K1205" t="s">
        <v>30</v>
      </c>
      <c r="L1205" s="2">
        <v>4141840</v>
      </c>
      <c r="M1205" s="2">
        <v>1664243</v>
      </c>
      <c r="N1205" s="2">
        <v>0</v>
      </c>
      <c r="O1205" s="2">
        <v>217975</v>
      </c>
      <c r="P1205" t="s">
        <v>24</v>
      </c>
      <c r="Q1205" t="s">
        <v>24</v>
      </c>
    </row>
    <row r="1206" spans="1:17" x14ac:dyDescent="0.25">
      <c r="A1206" t="s">
        <v>4151</v>
      </c>
      <c r="B1206" t="s">
        <v>4152</v>
      </c>
      <c r="C1206" s="1">
        <v>41275</v>
      </c>
      <c r="D1206" s="1">
        <v>41639</v>
      </c>
      <c r="E1206" t="s">
        <v>4153</v>
      </c>
      <c r="G1206" t="s">
        <v>4154</v>
      </c>
      <c r="H1206" t="s">
        <v>47</v>
      </c>
      <c r="I1206" t="str">
        <f>"48328"</f>
        <v>48328</v>
      </c>
      <c r="J1206" t="s">
        <v>22</v>
      </c>
      <c r="K1206" t="s">
        <v>23</v>
      </c>
      <c r="L1206" s="2">
        <v>4137895</v>
      </c>
      <c r="M1206" s="2">
        <v>1194415</v>
      </c>
      <c r="N1206" s="2">
        <v>913</v>
      </c>
      <c r="O1206" s="2">
        <v>465455</v>
      </c>
      <c r="P1206" t="s">
        <v>24</v>
      </c>
      <c r="Q1206" t="s">
        <v>24</v>
      </c>
    </row>
    <row r="1207" spans="1:17" x14ac:dyDescent="0.25">
      <c r="A1207" t="s">
        <v>3785</v>
      </c>
      <c r="B1207" t="s">
        <v>3786</v>
      </c>
      <c r="C1207" s="1">
        <v>41275</v>
      </c>
      <c r="D1207" s="1">
        <v>41639</v>
      </c>
      <c r="E1207" t="s">
        <v>3787</v>
      </c>
      <c r="G1207" t="s">
        <v>167</v>
      </c>
      <c r="H1207" t="s">
        <v>62</v>
      </c>
      <c r="I1207" t="str">
        <f>"45236"</f>
        <v>45236</v>
      </c>
      <c r="J1207" t="s">
        <v>22</v>
      </c>
      <c r="K1207" t="s">
        <v>23</v>
      </c>
      <c r="L1207" s="2">
        <v>4137600</v>
      </c>
      <c r="M1207" s="2">
        <v>624472</v>
      </c>
      <c r="N1207" s="2">
        <v>0</v>
      </c>
      <c r="O1207" s="2">
        <v>162502</v>
      </c>
      <c r="P1207" t="s">
        <v>24</v>
      </c>
      <c r="Q1207" t="s">
        <v>24</v>
      </c>
    </row>
    <row r="1208" spans="1:17" x14ac:dyDescent="0.25">
      <c r="A1208" t="s">
        <v>5908</v>
      </c>
      <c r="B1208" t="s">
        <v>5909</v>
      </c>
      <c r="C1208" s="1">
        <v>41214</v>
      </c>
      <c r="D1208" s="1">
        <v>41578</v>
      </c>
      <c r="E1208" t="s">
        <v>5910</v>
      </c>
      <c r="G1208" t="s">
        <v>77</v>
      </c>
      <c r="H1208" t="s">
        <v>78</v>
      </c>
      <c r="I1208" t="str">
        <f>"40205"</f>
        <v>40205</v>
      </c>
      <c r="J1208" t="s">
        <v>22</v>
      </c>
      <c r="K1208" t="s">
        <v>91</v>
      </c>
      <c r="L1208" s="2">
        <v>4126433</v>
      </c>
      <c r="M1208" s="2">
        <v>1847327</v>
      </c>
      <c r="N1208" s="2">
        <v>747</v>
      </c>
      <c r="O1208" s="2">
        <v>375847</v>
      </c>
      <c r="P1208" t="s">
        <v>24</v>
      </c>
      <c r="Q1208" t="s">
        <v>24</v>
      </c>
    </row>
    <row r="1209" spans="1:17" x14ac:dyDescent="0.25">
      <c r="A1209" t="s">
        <v>7559</v>
      </c>
      <c r="B1209" t="s">
        <v>7560</v>
      </c>
      <c r="C1209" s="1">
        <v>41275</v>
      </c>
      <c r="D1209" s="1">
        <v>41639</v>
      </c>
      <c r="E1209" t="s">
        <v>556</v>
      </c>
      <c r="G1209" t="s">
        <v>167</v>
      </c>
      <c r="H1209" t="s">
        <v>62</v>
      </c>
      <c r="I1209" t="str">
        <f>"45201"</f>
        <v>45201</v>
      </c>
      <c r="J1209" t="s">
        <v>22</v>
      </c>
      <c r="K1209" t="s">
        <v>23</v>
      </c>
      <c r="L1209" s="2">
        <v>4121146</v>
      </c>
      <c r="M1209" s="2">
        <v>3407961</v>
      </c>
      <c r="N1209" s="2">
        <v>0</v>
      </c>
      <c r="O1209" s="2">
        <v>1045055</v>
      </c>
      <c r="P1209" t="s">
        <v>24</v>
      </c>
      <c r="Q1209" t="s">
        <v>24</v>
      </c>
    </row>
    <row r="1210" spans="1:17" x14ac:dyDescent="0.25">
      <c r="A1210" t="s">
        <v>3794</v>
      </c>
      <c r="B1210" t="s">
        <v>3795</v>
      </c>
      <c r="C1210" s="1">
        <v>41275</v>
      </c>
      <c r="D1210" s="1">
        <v>41639</v>
      </c>
      <c r="E1210" t="s">
        <v>142</v>
      </c>
      <c r="G1210" t="s">
        <v>143</v>
      </c>
      <c r="H1210" t="s">
        <v>47</v>
      </c>
      <c r="I1210" t="str">
        <f>"48275"</f>
        <v>48275</v>
      </c>
      <c r="J1210" t="s">
        <v>22</v>
      </c>
      <c r="K1210" t="s">
        <v>91</v>
      </c>
      <c r="L1210" s="2">
        <v>4120673</v>
      </c>
      <c r="M1210" s="2">
        <v>1052255</v>
      </c>
      <c r="N1210" s="2">
        <v>0</v>
      </c>
      <c r="O1210" s="2">
        <v>293376</v>
      </c>
      <c r="P1210" t="s">
        <v>24</v>
      </c>
      <c r="Q1210" t="s">
        <v>24</v>
      </c>
    </row>
    <row r="1211" spans="1:17" x14ac:dyDescent="0.25">
      <c r="A1211" t="s">
        <v>6133</v>
      </c>
      <c r="B1211" t="s">
        <v>6134</v>
      </c>
      <c r="C1211" s="1">
        <v>41275</v>
      </c>
      <c r="D1211" s="1">
        <v>41639</v>
      </c>
      <c r="E1211" t="s">
        <v>6135</v>
      </c>
      <c r="G1211" t="s">
        <v>1920</v>
      </c>
      <c r="H1211" t="s">
        <v>47</v>
      </c>
      <c r="I1211" t="str">
        <f>"48334"</f>
        <v>48334</v>
      </c>
      <c r="J1211" t="s">
        <v>22</v>
      </c>
      <c r="K1211" t="s">
        <v>30</v>
      </c>
      <c r="L1211" s="2">
        <v>4119532</v>
      </c>
      <c r="M1211" s="2">
        <v>2334406</v>
      </c>
      <c r="N1211" s="2">
        <v>0</v>
      </c>
      <c r="O1211" s="2">
        <v>84290</v>
      </c>
      <c r="P1211" t="s">
        <v>24</v>
      </c>
      <c r="Q1211" t="s">
        <v>24</v>
      </c>
    </row>
    <row r="1212" spans="1:17" x14ac:dyDescent="0.25">
      <c r="A1212" t="s">
        <v>102</v>
      </c>
      <c r="B1212" t="s">
        <v>103</v>
      </c>
      <c r="C1212" s="1">
        <v>41609</v>
      </c>
      <c r="D1212" s="1">
        <v>41973</v>
      </c>
      <c r="E1212" t="s">
        <v>104</v>
      </c>
      <c r="G1212" t="s">
        <v>28</v>
      </c>
      <c r="H1212" t="s">
        <v>29</v>
      </c>
      <c r="I1212" t="str">
        <f>"60680"</f>
        <v>60680</v>
      </c>
      <c r="J1212" t="s">
        <v>22</v>
      </c>
      <c r="K1212" t="s">
        <v>23</v>
      </c>
      <c r="L1212" s="2">
        <v>4116197</v>
      </c>
      <c r="M1212" s="2">
        <v>743791</v>
      </c>
      <c r="N1212" s="2">
        <v>0</v>
      </c>
      <c r="O1212" s="2">
        <v>282786</v>
      </c>
      <c r="P1212" t="s">
        <v>24</v>
      </c>
      <c r="Q1212" t="s">
        <v>24</v>
      </c>
    </row>
    <row r="1213" spans="1:17" x14ac:dyDescent="0.25">
      <c r="A1213" t="s">
        <v>2022</v>
      </c>
      <c r="B1213" t="s">
        <v>2023</v>
      </c>
      <c r="C1213" s="1">
        <v>41275</v>
      </c>
      <c r="D1213" s="1">
        <v>41639</v>
      </c>
      <c r="E1213" t="s">
        <v>163</v>
      </c>
      <c r="G1213" t="s">
        <v>28</v>
      </c>
      <c r="H1213" t="s">
        <v>29</v>
      </c>
      <c r="I1213" t="str">
        <f>"60603"</f>
        <v>60603</v>
      </c>
      <c r="J1213" t="s">
        <v>22</v>
      </c>
      <c r="K1213" t="s">
        <v>30</v>
      </c>
      <c r="L1213" s="2">
        <v>4108917</v>
      </c>
      <c r="M1213" s="2">
        <v>188165</v>
      </c>
      <c r="N1213" s="2">
        <v>0</v>
      </c>
      <c r="O1213" s="2">
        <v>246156</v>
      </c>
      <c r="P1213" t="s">
        <v>24</v>
      </c>
      <c r="Q1213" t="s">
        <v>24</v>
      </c>
    </row>
    <row r="1214" spans="1:17" x14ac:dyDescent="0.25">
      <c r="A1214" t="s">
        <v>4978</v>
      </c>
      <c r="B1214" t="s">
        <v>4979</v>
      </c>
      <c r="C1214" s="1">
        <v>41275</v>
      </c>
      <c r="D1214" s="1">
        <v>41639</v>
      </c>
      <c r="E1214" t="s">
        <v>4980</v>
      </c>
      <c r="G1214" t="s">
        <v>167</v>
      </c>
      <c r="H1214" t="s">
        <v>62</v>
      </c>
      <c r="I1214" t="str">
        <f>"45201"</f>
        <v>45201</v>
      </c>
      <c r="J1214" t="s">
        <v>22</v>
      </c>
      <c r="K1214" t="s">
        <v>30</v>
      </c>
      <c r="L1214" s="2">
        <v>4108289</v>
      </c>
      <c r="M1214" s="2">
        <v>1686651</v>
      </c>
      <c r="N1214" s="2">
        <v>0</v>
      </c>
      <c r="O1214" s="2">
        <v>503942</v>
      </c>
      <c r="P1214" t="s">
        <v>24</v>
      </c>
      <c r="Q1214" t="s">
        <v>24</v>
      </c>
    </row>
    <row r="1215" spans="1:17" x14ac:dyDescent="0.25">
      <c r="A1215" t="s">
        <v>5959</v>
      </c>
      <c r="B1215" t="s">
        <v>5960</v>
      </c>
      <c r="E1215" t="s">
        <v>236</v>
      </c>
      <c r="G1215" t="s">
        <v>237</v>
      </c>
      <c r="H1215" t="s">
        <v>42</v>
      </c>
      <c r="I1215" t="str">
        <f>"54601"</f>
        <v>54601</v>
      </c>
      <c r="J1215" t="s">
        <v>22</v>
      </c>
      <c r="K1215" t="s">
        <v>30</v>
      </c>
      <c r="L1215" s="2">
        <v>4105636</v>
      </c>
      <c r="M1215" s="2">
        <v>5234756</v>
      </c>
      <c r="N1215" s="2">
        <v>0</v>
      </c>
      <c r="O1215" t="s">
        <v>24</v>
      </c>
      <c r="P1215" t="s">
        <v>24</v>
      </c>
      <c r="Q1215" t="s">
        <v>24</v>
      </c>
    </row>
    <row r="1216" spans="1:17" x14ac:dyDescent="0.25">
      <c r="A1216" t="s">
        <v>2653</v>
      </c>
      <c r="B1216" t="s">
        <v>2654</v>
      </c>
      <c r="C1216" s="1">
        <v>41275</v>
      </c>
      <c r="D1216" s="1">
        <v>41639</v>
      </c>
      <c r="E1216" t="s">
        <v>2655</v>
      </c>
      <c r="G1216" t="s">
        <v>1605</v>
      </c>
      <c r="H1216" t="s">
        <v>29</v>
      </c>
      <c r="I1216" t="str">
        <f>"60123"</f>
        <v>60123</v>
      </c>
      <c r="J1216" t="s">
        <v>22</v>
      </c>
      <c r="K1216" t="s">
        <v>91</v>
      </c>
      <c r="L1216" s="2">
        <v>4105018</v>
      </c>
      <c r="M1216" s="2">
        <v>238576</v>
      </c>
      <c r="N1216" s="2">
        <v>0</v>
      </c>
      <c r="O1216" s="2">
        <v>179573</v>
      </c>
      <c r="P1216" t="s">
        <v>24</v>
      </c>
      <c r="Q1216" t="s">
        <v>24</v>
      </c>
    </row>
    <row r="1217" spans="1:17" x14ac:dyDescent="0.25">
      <c r="A1217" t="s">
        <v>959</v>
      </c>
      <c r="B1217" t="s">
        <v>960</v>
      </c>
      <c r="C1217" s="1">
        <v>41275</v>
      </c>
      <c r="D1217" s="1">
        <v>41639</v>
      </c>
      <c r="E1217" t="s">
        <v>40</v>
      </c>
      <c r="G1217" t="s">
        <v>41</v>
      </c>
      <c r="H1217" t="s">
        <v>42</v>
      </c>
      <c r="I1217" t="str">
        <f>"53201"</f>
        <v>53201</v>
      </c>
      <c r="J1217" t="s">
        <v>22</v>
      </c>
      <c r="K1217" t="s">
        <v>23</v>
      </c>
      <c r="L1217" s="2">
        <v>4099712</v>
      </c>
      <c r="M1217" s="2">
        <v>2857277</v>
      </c>
      <c r="N1217" s="2">
        <v>0</v>
      </c>
      <c r="O1217" s="2">
        <v>244427</v>
      </c>
      <c r="P1217" t="s">
        <v>24</v>
      </c>
      <c r="Q1217" t="s">
        <v>24</v>
      </c>
    </row>
    <row r="1218" spans="1:17" x14ac:dyDescent="0.25">
      <c r="A1218" t="s">
        <v>463</v>
      </c>
      <c r="B1218" t="s">
        <v>464</v>
      </c>
      <c r="C1218" s="1">
        <v>41275</v>
      </c>
      <c r="D1218" s="1">
        <v>41639</v>
      </c>
      <c r="E1218" t="s">
        <v>465</v>
      </c>
      <c r="G1218" t="s">
        <v>466</v>
      </c>
      <c r="H1218" t="s">
        <v>29</v>
      </c>
      <c r="I1218" t="str">
        <f>"61032"</f>
        <v>61032</v>
      </c>
      <c r="J1218" t="s">
        <v>63</v>
      </c>
      <c r="K1218" t="s">
        <v>79</v>
      </c>
      <c r="L1218" s="2">
        <v>4079042</v>
      </c>
      <c r="M1218" s="2">
        <v>404915</v>
      </c>
      <c r="N1218" s="2">
        <v>64225</v>
      </c>
      <c r="O1218" s="2">
        <v>205844</v>
      </c>
      <c r="P1218" s="2">
        <v>132264</v>
      </c>
      <c r="Q1218" s="2">
        <v>0</v>
      </c>
    </row>
    <row r="1219" spans="1:17" x14ac:dyDescent="0.25">
      <c r="A1219" t="s">
        <v>6970</v>
      </c>
      <c r="B1219" t="s">
        <v>6971</v>
      </c>
      <c r="C1219" s="1">
        <v>40909</v>
      </c>
      <c r="D1219" s="1">
        <v>41274</v>
      </c>
      <c r="E1219" t="s">
        <v>6972</v>
      </c>
      <c r="G1219" t="s">
        <v>28</v>
      </c>
      <c r="H1219" t="s">
        <v>29</v>
      </c>
      <c r="I1219" t="str">
        <f>"60611"</f>
        <v>60611</v>
      </c>
      <c r="J1219" t="s">
        <v>22</v>
      </c>
      <c r="K1219" t="s">
        <v>23</v>
      </c>
      <c r="L1219" s="2">
        <v>4076111</v>
      </c>
      <c r="M1219" s="2">
        <v>2810142</v>
      </c>
      <c r="N1219" s="2">
        <v>0</v>
      </c>
      <c r="O1219" s="2">
        <v>1338620</v>
      </c>
      <c r="P1219" t="s">
        <v>24</v>
      </c>
      <c r="Q1219" t="s">
        <v>24</v>
      </c>
    </row>
    <row r="1220" spans="1:17" x14ac:dyDescent="0.25">
      <c r="A1220" t="s">
        <v>1098</v>
      </c>
      <c r="B1220" t="s">
        <v>1099</v>
      </c>
      <c r="C1220" s="1">
        <v>41275</v>
      </c>
      <c r="D1220" s="1">
        <v>41639</v>
      </c>
      <c r="E1220" t="s">
        <v>1100</v>
      </c>
      <c r="G1220" t="s">
        <v>229</v>
      </c>
      <c r="H1220" t="s">
        <v>29</v>
      </c>
      <c r="I1220" t="str">
        <f>"61615"</f>
        <v>61615</v>
      </c>
      <c r="J1220" t="s">
        <v>22</v>
      </c>
      <c r="K1220" t="s">
        <v>23</v>
      </c>
      <c r="L1220" s="2">
        <v>4057887</v>
      </c>
      <c r="M1220" s="2">
        <v>35163</v>
      </c>
      <c r="N1220" s="2">
        <v>4057887</v>
      </c>
      <c r="O1220" s="2">
        <v>317393</v>
      </c>
      <c r="P1220" t="s">
        <v>24</v>
      </c>
      <c r="Q1220" t="s">
        <v>24</v>
      </c>
    </row>
    <row r="1221" spans="1:17" x14ac:dyDescent="0.25">
      <c r="A1221" t="s">
        <v>5374</v>
      </c>
      <c r="B1221" t="s">
        <v>5375</v>
      </c>
      <c r="C1221" s="1">
        <v>41000</v>
      </c>
      <c r="D1221" s="1">
        <v>41364</v>
      </c>
      <c r="E1221" t="s">
        <v>5376</v>
      </c>
      <c r="G1221" t="s">
        <v>5377</v>
      </c>
      <c r="H1221" t="s">
        <v>29</v>
      </c>
      <c r="I1221" t="str">
        <f>"60069"</f>
        <v>60069</v>
      </c>
      <c r="J1221" s="3" t="s">
        <v>109</v>
      </c>
      <c r="K1221" t="s">
        <v>23</v>
      </c>
      <c r="L1221" s="2">
        <v>4057571</v>
      </c>
      <c r="M1221" s="2">
        <v>7111804</v>
      </c>
      <c r="N1221" s="2">
        <v>82251</v>
      </c>
      <c r="O1221" s="2">
        <v>3134490</v>
      </c>
      <c r="P1221" t="s">
        <v>24</v>
      </c>
      <c r="Q1221" t="s">
        <v>24</v>
      </c>
    </row>
    <row r="1222" spans="1:17" x14ac:dyDescent="0.25">
      <c r="A1222" t="s">
        <v>6996</v>
      </c>
      <c r="B1222" t="s">
        <v>6997</v>
      </c>
      <c r="C1222" s="1">
        <v>41275</v>
      </c>
      <c r="D1222" s="1">
        <v>41639</v>
      </c>
      <c r="E1222" t="s">
        <v>6998</v>
      </c>
      <c r="G1222" t="s">
        <v>6999</v>
      </c>
      <c r="H1222" t="s">
        <v>47</v>
      </c>
      <c r="I1222" t="str">
        <f>"48801"</f>
        <v>48801</v>
      </c>
      <c r="J1222" t="s">
        <v>22</v>
      </c>
      <c r="K1222" t="s">
        <v>91</v>
      </c>
      <c r="L1222" s="2">
        <v>4055231</v>
      </c>
      <c r="M1222" s="2">
        <v>4284629</v>
      </c>
      <c r="N1222" s="2">
        <v>0</v>
      </c>
      <c r="O1222" s="2">
        <v>2706530</v>
      </c>
      <c r="P1222" t="s">
        <v>24</v>
      </c>
      <c r="Q1222" t="s">
        <v>24</v>
      </c>
    </row>
    <row r="1223" spans="1:17" x14ac:dyDescent="0.25">
      <c r="A1223" t="s">
        <v>3612</v>
      </c>
      <c r="B1223" t="s">
        <v>3613</v>
      </c>
      <c r="C1223" s="1">
        <v>41275</v>
      </c>
      <c r="D1223" s="1">
        <v>41639</v>
      </c>
      <c r="E1223" t="s">
        <v>3614</v>
      </c>
      <c r="G1223" t="s">
        <v>2990</v>
      </c>
      <c r="H1223" t="s">
        <v>29</v>
      </c>
      <c r="I1223" t="str">
        <f>"60527"</f>
        <v>60527</v>
      </c>
      <c r="J1223" t="s">
        <v>22</v>
      </c>
      <c r="K1223" t="s">
        <v>23</v>
      </c>
      <c r="L1223" s="2">
        <v>4038003</v>
      </c>
      <c r="M1223" s="2">
        <v>1665769</v>
      </c>
      <c r="N1223" s="2">
        <v>0</v>
      </c>
      <c r="O1223" s="2">
        <v>261755</v>
      </c>
      <c r="P1223" t="s">
        <v>24</v>
      </c>
      <c r="Q1223" t="s">
        <v>24</v>
      </c>
    </row>
    <row r="1224" spans="1:17" x14ac:dyDescent="0.25">
      <c r="A1224" t="s">
        <v>328</v>
      </c>
      <c r="B1224" t="s">
        <v>329</v>
      </c>
      <c r="C1224" s="1">
        <v>41275</v>
      </c>
      <c r="D1224" s="1">
        <v>41639</v>
      </c>
      <c r="E1224" t="s">
        <v>330</v>
      </c>
      <c r="G1224" t="s">
        <v>331</v>
      </c>
      <c r="H1224" t="s">
        <v>47</v>
      </c>
      <c r="I1224" t="str">
        <f>"49452"</f>
        <v>49452</v>
      </c>
      <c r="J1224" t="s">
        <v>22</v>
      </c>
      <c r="K1224" t="s">
        <v>23</v>
      </c>
      <c r="L1224" s="2">
        <v>4030745</v>
      </c>
      <c r="M1224" s="2">
        <v>1712972</v>
      </c>
      <c r="N1224" s="2">
        <v>0</v>
      </c>
      <c r="O1224" s="2">
        <v>201703</v>
      </c>
      <c r="P1224" t="s">
        <v>24</v>
      </c>
      <c r="Q1224" t="s">
        <v>24</v>
      </c>
    </row>
    <row r="1225" spans="1:17" x14ac:dyDescent="0.25">
      <c r="A1225" t="s">
        <v>7348</v>
      </c>
      <c r="B1225" t="s">
        <v>7349</v>
      </c>
      <c r="C1225" s="1">
        <v>41275</v>
      </c>
      <c r="D1225" s="1">
        <v>41639</v>
      </c>
      <c r="E1225" t="s">
        <v>1496</v>
      </c>
      <c r="G1225" t="s">
        <v>167</v>
      </c>
      <c r="H1225" t="s">
        <v>62</v>
      </c>
      <c r="I1225" t="str">
        <f>"45263"</f>
        <v>45263</v>
      </c>
      <c r="J1225" t="s">
        <v>22</v>
      </c>
      <c r="K1225" t="s">
        <v>23</v>
      </c>
      <c r="L1225" s="2">
        <v>4029420</v>
      </c>
      <c r="M1225" s="2">
        <v>2824738</v>
      </c>
      <c r="N1225" s="2">
        <v>0</v>
      </c>
      <c r="O1225" s="2">
        <v>217495</v>
      </c>
      <c r="P1225" t="s">
        <v>24</v>
      </c>
      <c r="Q1225" t="s">
        <v>24</v>
      </c>
    </row>
    <row r="1226" spans="1:17" x14ac:dyDescent="0.25">
      <c r="A1226" t="s">
        <v>6838</v>
      </c>
      <c r="B1226" t="s">
        <v>6839</v>
      </c>
      <c r="C1226" s="1">
        <v>41091</v>
      </c>
      <c r="D1226" s="1">
        <v>41455</v>
      </c>
      <c r="E1226" t="s">
        <v>6840</v>
      </c>
      <c r="G1226" t="s">
        <v>28</v>
      </c>
      <c r="H1226" t="s">
        <v>29</v>
      </c>
      <c r="I1226" t="str">
        <f>"60603"</f>
        <v>60603</v>
      </c>
      <c r="J1226" t="s">
        <v>63</v>
      </c>
      <c r="K1226" t="s">
        <v>6841</v>
      </c>
      <c r="L1226" s="2">
        <v>4028157</v>
      </c>
      <c r="M1226" s="2">
        <v>720519</v>
      </c>
      <c r="N1226" s="2">
        <v>385546</v>
      </c>
      <c r="O1226" s="2">
        <v>851800</v>
      </c>
      <c r="P1226" s="2">
        <v>100506</v>
      </c>
      <c r="Q1226" s="2">
        <v>108751</v>
      </c>
    </row>
    <row r="1227" spans="1:17" x14ac:dyDescent="0.25">
      <c r="A1227" t="s">
        <v>1029</v>
      </c>
      <c r="B1227" t="s">
        <v>1030</v>
      </c>
      <c r="C1227" s="1">
        <v>41275</v>
      </c>
      <c r="D1227" s="1">
        <v>41639</v>
      </c>
      <c r="E1227" t="s">
        <v>1031</v>
      </c>
      <c r="G1227" t="s">
        <v>1010</v>
      </c>
      <c r="H1227" t="s">
        <v>47</v>
      </c>
      <c r="I1227" t="str">
        <f>"49685"</f>
        <v>49685</v>
      </c>
      <c r="J1227" t="s">
        <v>22</v>
      </c>
      <c r="K1227" t="s">
        <v>30</v>
      </c>
      <c r="L1227" s="2">
        <v>4027587</v>
      </c>
      <c r="M1227" s="2">
        <v>1267189</v>
      </c>
      <c r="N1227" s="2">
        <v>0</v>
      </c>
      <c r="O1227" s="2">
        <v>206502</v>
      </c>
      <c r="P1227" t="s">
        <v>24</v>
      </c>
      <c r="Q1227" t="s">
        <v>24</v>
      </c>
    </row>
    <row r="1228" spans="1:17" x14ac:dyDescent="0.25">
      <c r="A1228" t="s">
        <v>5352</v>
      </c>
      <c r="B1228" t="s">
        <v>5353</v>
      </c>
      <c r="C1228" s="1">
        <v>40909</v>
      </c>
      <c r="D1228" s="1">
        <v>41274</v>
      </c>
      <c r="E1228" t="s">
        <v>5354</v>
      </c>
      <c r="G1228" t="s">
        <v>5355</v>
      </c>
      <c r="H1228" t="s">
        <v>62</v>
      </c>
      <c r="I1228" t="str">
        <f>"44130"</f>
        <v>44130</v>
      </c>
      <c r="J1228" t="s">
        <v>22</v>
      </c>
      <c r="K1228" t="s">
        <v>23</v>
      </c>
      <c r="L1228" s="2">
        <v>4024646</v>
      </c>
      <c r="M1228" s="2">
        <v>167193</v>
      </c>
      <c r="N1228" s="2">
        <v>0</v>
      </c>
      <c r="O1228" s="2">
        <v>312374</v>
      </c>
      <c r="P1228" t="s">
        <v>24</v>
      </c>
      <c r="Q1228" t="s">
        <v>24</v>
      </c>
    </row>
    <row r="1229" spans="1:17" x14ac:dyDescent="0.25">
      <c r="A1229" t="s">
        <v>3106</v>
      </c>
      <c r="B1229" t="s">
        <v>3107</v>
      </c>
      <c r="C1229" s="1">
        <v>41275</v>
      </c>
      <c r="D1229" s="1">
        <v>41639</v>
      </c>
      <c r="E1229" t="s">
        <v>3108</v>
      </c>
      <c r="G1229" t="s">
        <v>41</v>
      </c>
      <c r="H1229" t="s">
        <v>42</v>
      </c>
      <c r="I1229" t="str">
        <f>"53202"</f>
        <v>53202</v>
      </c>
      <c r="J1229" t="s">
        <v>22</v>
      </c>
      <c r="K1229" t="s">
        <v>23</v>
      </c>
      <c r="L1229" s="2">
        <v>4022337</v>
      </c>
      <c r="M1229" s="2">
        <v>397217</v>
      </c>
      <c r="N1229" s="2">
        <v>0</v>
      </c>
      <c r="O1229" s="2">
        <v>193301</v>
      </c>
      <c r="P1229" t="s">
        <v>24</v>
      </c>
      <c r="Q1229" t="s">
        <v>24</v>
      </c>
    </row>
    <row r="1230" spans="1:17" x14ac:dyDescent="0.25">
      <c r="A1230" t="s">
        <v>3884</v>
      </c>
      <c r="B1230" t="s">
        <v>3885</v>
      </c>
      <c r="C1230" s="1">
        <v>41275</v>
      </c>
      <c r="D1230" s="1">
        <v>41639</v>
      </c>
      <c r="E1230" t="s">
        <v>40</v>
      </c>
      <c r="G1230" t="s">
        <v>41</v>
      </c>
      <c r="H1230" t="s">
        <v>42</v>
      </c>
      <c r="I1230" t="str">
        <f>"53201"</f>
        <v>53201</v>
      </c>
      <c r="J1230" t="s">
        <v>22</v>
      </c>
      <c r="K1230" t="s">
        <v>23</v>
      </c>
      <c r="L1230" s="2">
        <v>4018805</v>
      </c>
      <c r="M1230" s="2">
        <v>2416028</v>
      </c>
      <c r="N1230" s="2">
        <v>0</v>
      </c>
      <c r="O1230" s="2">
        <v>299555</v>
      </c>
      <c r="P1230" t="s">
        <v>24</v>
      </c>
      <c r="Q1230" t="s">
        <v>24</v>
      </c>
    </row>
    <row r="1231" spans="1:17" x14ac:dyDescent="0.25">
      <c r="A1231" t="s">
        <v>5694</v>
      </c>
      <c r="B1231" t="s">
        <v>5695</v>
      </c>
      <c r="C1231" s="1">
        <v>41275</v>
      </c>
      <c r="D1231" s="1">
        <v>41639</v>
      </c>
      <c r="E1231" t="s">
        <v>5458</v>
      </c>
      <c r="G1231" t="s">
        <v>28</v>
      </c>
      <c r="H1231" t="s">
        <v>29</v>
      </c>
      <c r="I1231" t="str">
        <f>"60606"</f>
        <v>60606</v>
      </c>
      <c r="J1231" t="s">
        <v>22</v>
      </c>
      <c r="K1231" t="s">
        <v>30</v>
      </c>
      <c r="L1231" s="2">
        <v>4016720</v>
      </c>
      <c r="M1231" s="2">
        <v>82545</v>
      </c>
      <c r="N1231" s="2">
        <v>0</v>
      </c>
      <c r="O1231" s="2">
        <v>231213</v>
      </c>
      <c r="P1231" t="s">
        <v>24</v>
      </c>
      <c r="Q1231" t="s">
        <v>24</v>
      </c>
    </row>
    <row r="1232" spans="1:17" x14ac:dyDescent="0.25">
      <c r="A1232" t="s">
        <v>5488</v>
      </c>
      <c r="B1232" t="s">
        <v>5489</v>
      </c>
      <c r="C1232" s="1">
        <v>41275</v>
      </c>
      <c r="D1232" s="1">
        <v>41639</v>
      </c>
      <c r="E1232" t="s">
        <v>5490</v>
      </c>
      <c r="G1232" t="s">
        <v>28</v>
      </c>
      <c r="H1232" t="s">
        <v>29</v>
      </c>
      <c r="I1232" t="str">
        <f>"60606"</f>
        <v>60606</v>
      </c>
      <c r="J1232" t="s">
        <v>63</v>
      </c>
      <c r="K1232" t="s">
        <v>79</v>
      </c>
      <c r="L1232" s="2">
        <v>4015717</v>
      </c>
      <c r="M1232" s="2">
        <v>6325</v>
      </c>
      <c r="N1232" s="2">
        <v>500000</v>
      </c>
      <c r="O1232" s="2">
        <v>3154775</v>
      </c>
      <c r="P1232" s="2">
        <v>26726</v>
      </c>
      <c r="Q1232" s="2">
        <v>0</v>
      </c>
    </row>
    <row r="1233" spans="1:17" x14ac:dyDescent="0.25">
      <c r="A1233" t="s">
        <v>6460</v>
      </c>
      <c r="B1233" t="s">
        <v>6461</v>
      </c>
      <c r="C1233" s="1">
        <v>41275</v>
      </c>
      <c r="D1233" s="1">
        <v>41639</v>
      </c>
      <c r="E1233" t="s">
        <v>6462</v>
      </c>
      <c r="G1233" t="s">
        <v>28</v>
      </c>
      <c r="H1233" t="s">
        <v>29</v>
      </c>
      <c r="I1233" t="str">
        <f>"60601"</f>
        <v>60601</v>
      </c>
      <c r="J1233" t="s">
        <v>22</v>
      </c>
      <c r="K1233" t="s">
        <v>30</v>
      </c>
      <c r="L1233" s="2">
        <v>4007000</v>
      </c>
      <c r="M1233" s="2">
        <v>1173811</v>
      </c>
      <c r="N1233" s="2">
        <v>0</v>
      </c>
      <c r="O1233" s="2">
        <v>230876</v>
      </c>
      <c r="P1233" t="s">
        <v>24</v>
      </c>
      <c r="Q1233" t="s">
        <v>24</v>
      </c>
    </row>
    <row r="1234" spans="1:17" x14ac:dyDescent="0.25">
      <c r="A1234" t="s">
        <v>2643</v>
      </c>
      <c r="B1234" t="s">
        <v>2644</v>
      </c>
      <c r="C1234" s="1">
        <v>41275</v>
      </c>
      <c r="D1234" s="1">
        <v>41639</v>
      </c>
      <c r="E1234" t="s">
        <v>2645</v>
      </c>
      <c r="G1234" t="s">
        <v>28</v>
      </c>
      <c r="H1234" t="s">
        <v>29</v>
      </c>
      <c r="I1234" t="str">
        <f>"60605"</f>
        <v>60605</v>
      </c>
      <c r="J1234" t="s">
        <v>22</v>
      </c>
      <c r="K1234" t="s">
        <v>23</v>
      </c>
      <c r="L1234" s="2">
        <v>4005992</v>
      </c>
      <c r="M1234" s="2">
        <v>7573672</v>
      </c>
      <c r="N1234" s="2">
        <v>0</v>
      </c>
      <c r="O1234" s="2">
        <v>350074</v>
      </c>
      <c r="P1234" t="s">
        <v>24</v>
      </c>
      <c r="Q1234" t="s">
        <v>24</v>
      </c>
    </row>
    <row r="1235" spans="1:17" x14ac:dyDescent="0.25">
      <c r="A1235" t="s">
        <v>6194</v>
      </c>
      <c r="B1235" t="s">
        <v>6195</v>
      </c>
      <c r="C1235" s="1">
        <v>40909</v>
      </c>
      <c r="D1235" s="1">
        <v>41060</v>
      </c>
      <c r="E1235" t="s">
        <v>5896</v>
      </c>
      <c r="G1235" t="s">
        <v>5897</v>
      </c>
      <c r="H1235" t="s">
        <v>21</v>
      </c>
      <c r="I1235" t="str">
        <f>"47547"</f>
        <v>47547</v>
      </c>
      <c r="J1235" t="s">
        <v>63</v>
      </c>
      <c r="K1235" t="s">
        <v>64</v>
      </c>
      <c r="L1235" s="2">
        <v>4003963</v>
      </c>
      <c r="M1235" s="2">
        <v>908047</v>
      </c>
      <c r="N1235" s="2">
        <v>130095</v>
      </c>
      <c r="O1235" s="2">
        <v>4147710</v>
      </c>
      <c r="P1235" s="2">
        <v>22158</v>
      </c>
      <c r="Q1235" s="2">
        <v>11084</v>
      </c>
    </row>
    <row r="1236" spans="1:17" x14ac:dyDescent="0.25">
      <c r="A1236" t="s">
        <v>5549</v>
      </c>
      <c r="B1236" t="s">
        <v>5550</v>
      </c>
      <c r="C1236" s="1">
        <v>41275</v>
      </c>
      <c r="D1236" s="1">
        <v>41639</v>
      </c>
      <c r="E1236" t="s">
        <v>5551</v>
      </c>
      <c r="G1236" t="s">
        <v>843</v>
      </c>
      <c r="H1236" t="s">
        <v>29</v>
      </c>
      <c r="I1236" t="str">
        <f>"61108"</f>
        <v>61108</v>
      </c>
      <c r="J1236" t="s">
        <v>752</v>
      </c>
      <c r="K1236" t="s">
        <v>23</v>
      </c>
      <c r="L1236" s="2">
        <v>3997757</v>
      </c>
      <c r="M1236" s="2">
        <v>1800636</v>
      </c>
      <c r="N1236" s="2">
        <v>0</v>
      </c>
      <c r="O1236" s="2">
        <v>229644</v>
      </c>
      <c r="P1236" t="s">
        <v>24</v>
      </c>
      <c r="Q1236" t="s">
        <v>24</v>
      </c>
    </row>
    <row r="1237" spans="1:17" x14ac:dyDescent="0.25">
      <c r="A1237" t="s">
        <v>5827</v>
      </c>
      <c r="B1237" t="s">
        <v>5828</v>
      </c>
      <c r="C1237" s="1">
        <v>41275</v>
      </c>
      <c r="D1237" s="1">
        <v>41639</v>
      </c>
      <c r="E1237" t="s">
        <v>5829</v>
      </c>
      <c r="G1237" t="s">
        <v>1726</v>
      </c>
      <c r="H1237" t="s">
        <v>47</v>
      </c>
      <c r="I1237" t="str">
        <f>"48089"</f>
        <v>48089</v>
      </c>
      <c r="J1237" t="s">
        <v>22</v>
      </c>
      <c r="K1237" t="s">
        <v>30</v>
      </c>
      <c r="L1237" s="2">
        <v>3981181</v>
      </c>
      <c r="M1237" s="2">
        <v>2363700</v>
      </c>
      <c r="N1237" s="2">
        <v>0</v>
      </c>
      <c r="O1237" s="2">
        <v>263632</v>
      </c>
      <c r="P1237" t="s">
        <v>24</v>
      </c>
      <c r="Q1237" t="s">
        <v>24</v>
      </c>
    </row>
    <row r="1238" spans="1:17" x14ac:dyDescent="0.25">
      <c r="A1238" t="s">
        <v>6860</v>
      </c>
      <c r="B1238" t="s">
        <v>6861</v>
      </c>
      <c r="C1238" s="1">
        <v>41275</v>
      </c>
      <c r="D1238" s="1">
        <v>41639</v>
      </c>
      <c r="E1238" t="s">
        <v>6862</v>
      </c>
      <c r="G1238" t="s">
        <v>5211</v>
      </c>
      <c r="H1238" t="s">
        <v>42</v>
      </c>
      <c r="I1238" t="str">
        <f>"54452"</f>
        <v>54452</v>
      </c>
      <c r="J1238" t="s">
        <v>22</v>
      </c>
      <c r="K1238" t="s">
        <v>23</v>
      </c>
      <c r="L1238" s="2">
        <v>3977155</v>
      </c>
      <c r="M1238" s="2">
        <v>2319106</v>
      </c>
      <c r="N1238" s="2">
        <v>0</v>
      </c>
      <c r="O1238" s="2">
        <v>312930</v>
      </c>
      <c r="P1238" t="s">
        <v>24</v>
      </c>
      <c r="Q1238" t="s">
        <v>24</v>
      </c>
    </row>
    <row r="1239" spans="1:17" x14ac:dyDescent="0.25">
      <c r="A1239" t="s">
        <v>6770</v>
      </c>
      <c r="B1239" t="s">
        <v>6771</v>
      </c>
      <c r="C1239" s="1">
        <v>40909</v>
      </c>
      <c r="D1239" s="1">
        <v>41274</v>
      </c>
      <c r="E1239" t="s">
        <v>6772</v>
      </c>
      <c r="G1239" t="s">
        <v>20</v>
      </c>
      <c r="H1239" t="s">
        <v>21</v>
      </c>
      <c r="I1239" t="str">
        <f>"46260"</f>
        <v>46260</v>
      </c>
      <c r="J1239" t="s">
        <v>22</v>
      </c>
      <c r="K1239" t="s">
        <v>23</v>
      </c>
      <c r="L1239" s="2">
        <v>3973258</v>
      </c>
      <c r="M1239" s="2">
        <v>1432256</v>
      </c>
      <c r="N1239" s="2">
        <v>13930</v>
      </c>
      <c r="O1239" s="2">
        <v>1447489</v>
      </c>
      <c r="P1239" t="s">
        <v>24</v>
      </c>
      <c r="Q1239" t="s">
        <v>24</v>
      </c>
    </row>
    <row r="1240" spans="1:17" x14ac:dyDescent="0.25">
      <c r="A1240" t="s">
        <v>6333</v>
      </c>
      <c r="B1240" t="s">
        <v>6334</v>
      </c>
      <c r="C1240" s="1">
        <v>41275</v>
      </c>
      <c r="D1240" s="1">
        <v>41639</v>
      </c>
      <c r="E1240" t="s">
        <v>6335</v>
      </c>
      <c r="G1240" t="s">
        <v>1028</v>
      </c>
      <c r="H1240" t="s">
        <v>47</v>
      </c>
      <c r="I1240" t="str">
        <f>"48104"</f>
        <v>48104</v>
      </c>
      <c r="J1240" t="s">
        <v>22</v>
      </c>
      <c r="K1240" t="s">
        <v>30</v>
      </c>
      <c r="L1240" s="2">
        <v>3972719</v>
      </c>
      <c r="M1240" s="2">
        <v>1916044</v>
      </c>
      <c r="N1240" s="2">
        <v>0</v>
      </c>
      <c r="O1240" s="2">
        <v>178758</v>
      </c>
      <c r="P1240" t="s">
        <v>24</v>
      </c>
      <c r="Q1240" t="s">
        <v>24</v>
      </c>
    </row>
    <row r="1241" spans="1:17" x14ac:dyDescent="0.25">
      <c r="A1241" t="s">
        <v>5652</v>
      </c>
      <c r="B1241" t="s">
        <v>5653</v>
      </c>
      <c r="C1241" s="1">
        <v>41244</v>
      </c>
      <c r="D1241" s="1">
        <v>41608</v>
      </c>
      <c r="E1241" t="s">
        <v>5654</v>
      </c>
      <c r="G1241" t="s">
        <v>4032</v>
      </c>
      <c r="H1241" t="s">
        <v>29</v>
      </c>
      <c r="I1241" t="str">
        <f>"60439"</f>
        <v>60439</v>
      </c>
      <c r="J1241" t="s">
        <v>63</v>
      </c>
      <c r="K1241" t="s">
        <v>79</v>
      </c>
      <c r="L1241" s="2">
        <v>3965843</v>
      </c>
      <c r="M1241" s="2">
        <v>1735927</v>
      </c>
      <c r="N1241" s="2">
        <v>317951</v>
      </c>
      <c r="O1241" s="2">
        <v>1003596</v>
      </c>
      <c r="P1241" s="2">
        <v>377812</v>
      </c>
      <c r="Q1241" s="2">
        <v>201029</v>
      </c>
    </row>
    <row r="1242" spans="1:17" x14ac:dyDescent="0.25">
      <c r="A1242" t="s">
        <v>5778</v>
      </c>
      <c r="B1242" t="s">
        <v>5779</v>
      </c>
      <c r="C1242" s="1">
        <v>41275</v>
      </c>
      <c r="D1242" s="1">
        <v>41639</v>
      </c>
      <c r="E1242" t="s">
        <v>5780</v>
      </c>
      <c r="G1242" t="s">
        <v>1028</v>
      </c>
      <c r="H1242" t="s">
        <v>47</v>
      </c>
      <c r="I1242" t="str">
        <f>"48104"</f>
        <v>48104</v>
      </c>
      <c r="J1242" t="s">
        <v>22</v>
      </c>
      <c r="K1242" t="s">
        <v>23</v>
      </c>
      <c r="L1242" s="2">
        <v>3958803</v>
      </c>
      <c r="M1242" s="2">
        <v>1807816</v>
      </c>
      <c r="N1242" s="2">
        <v>0</v>
      </c>
      <c r="O1242" s="2">
        <v>193354</v>
      </c>
      <c r="P1242" t="s">
        <v>24</v>
      </c>
      <c r="Q1242" t="s">
        <v>24</v>
      </c>
    </row>
    <row r="1243" spans="1:17" x14ac:dyDescent="0.25">
      <c r="A1243" t="s">
        <v>2259</v>
      </c>
      <c r="B1243" t="s">
        <v>2260</v>
      </c>
      <c r="C1243" s="1">
        <v>41275</v>
      </c>
      <c r="D1243" s="1">
        <v>41639</v>
      </c>
      <c r="E1243" t="s">
        <v>2261</v>
      </c>
      <c r="G1243" t="s">
        <v>783</v>
      </c>
      <c r="H1243" t="s">
        <v>21</v>
      </c>
      <c r="I1243" t="str">
        <f>"46032"</f>
        <v>46032</v>
      </c>
      <c r="J1243" t="s">
        <v>22</v>
      </c>
      <c r="K1243" t="s">
        <v>23</v>
      </c>
      <c r="L1243" s="2">
        <v>3955848</v>
      </c>
      <c r="M1243" s="2">
        <v>4100094</v>
      </c>
      <c r="N1243" s="2">
        <v>0</v>
      </c>
      <c r="O1243" s="2">
        <v>1145851</v>
      </c>
      <c r="P1243" t="s">
        <v>24</v>
      </c>
      <c r="Q1243" t="s">
        <v>24</v>
      </c>
    </row>
    <row r="1244" spans="1:17" x14ac:dyDescent="0.25">
      <c r="A1244" t="s">
        <v>3646</v>
      </c>
      <c r="B1244" t="s">
        <v>3647</v>
      </c>
      <c r="C1244" s="1">
        <v>41275</v>
      </c>
      <c r="D1244" s="1">
        <v>41639</v>
      </c>
      <c r="E1244" t="s">
        <v>3648</v>
      </c>
      <c r="G1244" t="s">
        <v>28</v>
      </c>
      <c r="H1244" t="s">
        <v>29</v>
      </c>
      <c r="I1244" t="str">
        <f>"60603"</f>
        <v>60603</v>
      </c>
      <c r="J1244" t="s">
        <v>22</v>
      </c>
      <c r="K1244" t="s">
        <v>23</v>
      </c>
      <c r="L1244" s="2">
        <v>3950178</v>
      </c>
      <c r="M1244" s="2">
        <v>2414001</v>
      </c>
      <c r="N1244" s="2">
        <v>0</v>
      </c>
      <c r="O1244" s="2">
        <v>626809</v>
      </c>
      <c r="P1244" t="s">
        <v>24</v>
      </c>
      <c r="Q1244" t="s">
        <v>24</v>
      </c>
    </row>
    <row r="1245" spans="1:17" x14ac:dyDescent="0.25">
      <c r="A1245" t="s">
        <v>789</v>
      </c>
      <c r="B1245" t="s">
        <v>790</v>
      </c>
      <c r="C1245" s="1">
        <v>41275</v>
      </c>
      <c r="D1245" s="1">
        <v>41639</v>
      </c>
      <c r="E1245" t="s">
        <v>791</v>
      </c>
      <c r="G1245" t="s">
        <v>337</v>
      </c>
      <c r="H1245" t="s">
        <v>62</v>
      </c>
      <c r="I1245" t="str">
        <f>"44113"</f>
        <v>44113</v>
      </c>
      <c r="J1245" t="s">
        <v>22</v>
      </c>
      <c r="K1245" t="s">
        <v>30</v>
      </c>
      <c r="L1245" s="2">
        <v>3943458</v>
      </c>
      <c r="M1245" s="2">
        <v>207023</v>
      </c>
      <c r="N1245" s="2">
        <v>0</v>
      </c>
      <c r="O1245" s="2">
        <v>218328</v>
      </c>
      <c r="P1245" t="s">
        <v>24</v>
      </c>
      <c r="Q1245" t="s">
        <v>24</v>
      </c>
    </row>
    <row r="1246" spans="1:17" x14ac:dyDescent="0.25">
      <c r="A1246" t="s">
        <v>3783</v>
      </c>
      <c r="B1246" t="s">
        <v>3784</v>
      </c>
      <c r="C1246" s="1">
        <v>41275</v>
      </c>
      <c r="D1246" s="1">
        <v>41639</v>
      </c>
      <c r="E1246" t="s">
        <v>556</v>
      </c>
      <c r="G1246" t="s">
        <v>167</v>
      </c>
      <c r="H1246" t="s">
        <v>62</v>
      </c>
      <c r="I1246" t="str">
        <f>"45201"</f>
        <v>45201</v>
      </c>
      <c r="J1246" t="s">
        <v>22</v>
      </c>
      <c r="K1246" t="s">
        <v>23</v>
      </c>
      <c r="L1246" s="2">
        <v>3940597</v>
      </c>
      <c r="M1246" s="2">
        <v>874569</v>
      </c>
      <c r="N1246" s="2">
        <v>0</v>
      </c>
      <c r="O1246" s="2">
        <v>161332</v>
      </c>
      <c r="P1246" t="s">
        <v>24</v>
      </c>
      <c r="Q1246" t="s">
        <v>24</v>
      </c>
    </row>
    <row r="1247" spans="1:17" x14ac:dyDescent="0.25">
      <c r="A1247" t="s">
        <v>206</v>
      </c>
      <c r="B1247" t="s">
        <v>207</v>
      </c>
      <c r="C1247" s="1">
        <v>41275</v>
      </c>
      <c r="D1247" s="1">
        <v>41639</v>
      </c>
      <c r="E1247" t="s">
        <v>208</v>
      </c>
      <c r="G1247" t="s">
        <v>167</v>
      </c>
      <c r="H1247" t="s">
        <v>62</v>
      </c>
      <c r="I1247" t="str">
        <f>"45242"</f>
        <v>45242</v>
      </c>
      <c r="J1247" t="s">
        <v>22</v>
      </c>
      <c r="K1247" t="s">
        <v>23</v>
      </c>
      <c r="L1247" s="2">
        <v>3939515</v>
      </c>
      <c r="M1247" s="2">
        <v>1614200</v>
      </c>
      <c r="N1247" s="2">
        <v>0</v>
      </c>
      <c r="O1247" s="2">
        <v>168791</v>
      </c>
      <c r="P1247" t="s">
        <v>24</v>
      </c>
      <c r="Q1247" t="s">
        <v>24</v>
      </c>
    </row>
    <row r="1248" spans="1:17" x14ac:dyDescent="0.25">
      <c r="A1248" t="s">
        <v>4592</v>
      </c>
      <c r="B1248" t="s">
        <v>4593</v>
      </c>
      <c r="C1248" s="1">
        <v>41091</v>
      </c>
      <c r="D1248" s="1">
        <v>41455</v>
      </c>
      <c r="E1248" t="s">
        <v>4594</v>
      </c>
      <c r="G1248" t="s">
        <v>1575</v>
      </c>
      <c r="H1248" t="s">
        <v>42</v>
      </c>
      <c r="I1248" t="str">
        <f>"54912"</f>
        <v>54912</v>
      </c>
      <c r="J1248" t="s">
        <v>22</v>
      </c>
      <c r="K1248" t="s">
        <v>23</v>
      </c>
      <c r="L1248" s="2">
        <v>3928540</v>
      </c>
      <c r="M1248" s="2">
        <v>1985827</v>
      </c>
      <c r="N1248" s="2">
        <v>0</v>
      </c>
      <c r="O1248" s="2">
        <v>182177</v>
      </c>
      <c r="P1248" t="s">
        <v>24</v>
      </c>
      <c r="Q1248" t="s">
        <v>24</v>
      </c>
    </row>
    <row r="1249" spans="1:17" x14ac:dyDescent="0.25">
      <c r="A1249" t="s">
        <v>601</v>
      </c>
      <c r="B1249" t="s">
        <v>602</v>
      </c>
      <c r="C1249" s="1">
        <v>41275</v>
      </c>
      <c r="D1249" s="1">
        <v>41639</v>
      </c>
      <c r="E1249" t="s">
        <v>603</v>
      </c>
      <c r="G1249" t="s">
        <v>604</v>
      </c>
      <c r="H1249" t="s">
        <v>42</v>
      </c>
      <c r="I1249" t="str">
        <f>"53562"</f>
        <v>53562</v>
      </c>
      <c r="J1249" t="s">
        <v>22</v>
      </c>
      <c r="K1249" t="s">
        <v>30</v>
      </c>
      <c r="L1249" s="2">
        <v>3927140</v>
      </c>
      <c r="M1249" s="2">
        <v>611516</v>
      </c>
      <c r="N1249" s="2">
        <v>0</v>
      </c>
      <c r="O1249" s="2">
        <v>116267</v>
      </c>
      <c r="P1249" t="s">
        <v>24</v>
      </c>
      <c r="Q1249" t="s">
        <v>24</v>
      </c>
    </row>
    <row r="1250" spans="1:17" x14ac:dyDescent="0.25">
      <c r="A1250" t="s">
        <v>3602</v>
      </c>
      <c r="B1250" t="s">
        <v>3603</v>
      </c>
      <c r="C1250" s="1">
        <v>41275</v>
      </c>
      <c r="D1250" s="1">
        <v>41639</v>
      </c>
      <c r="E1250" t="s">
        <v>3604</v>
      </c>
      <c r="G1250" t="s">
        <v>258</v>
      </c>
      <c r="H1250" t="s">
        <v>62</v>
      </c>
      <c r="I1250" t="str">
        <f>"44512"</f>
        <v>44512</v>
      </c>
      <c r="J1250" t="s">
        <v>22</v>
      </c>
      <c r="K1250" t="s">
        <v>23</v>
      </c>
      <c r="L1250" s="2">
        <v>3926775</v>
      </c>
      <c r="M1250" s="2">
        <v>3167027</v>
      </c>
      <c r="N1250" s="2">
        <v>0</v>
      </c>
      <c r="O1250" s="2">
        <v>219314</v>
      </c>
      <c r="P1250" t="s">
        <v>24</v>
      </c>
      <c r="Q1250" t="s">
        <v>24</v>
      </c>
    </row>
    <row r="1251" spans="1:17" x14ac:dyDescent="0.25">
      <c r="A1251" t="s">
        <v>3448</v>
      </c>
      <c r="B1251" t="s">
        <v>3449</v>
      </c>
      <c r="C1251" s="1">
        <v>41456</v>
      </c>
      <c r="D1251" s="1">
        <v>41820</v>
      </c>
      <c r="E1251" t="s">
        <v>3450</v>
      </c>
      <c r="G1251" t="s">
        <v>57</v>
      </c>
      <c r="H1251" t="s">
        <v>29</v>
      </c>
      <c r="I1251" t="str">
        <f>"60523"</f>
        <v>60523</v>
      </c>
      <c r="J1251" t="s">
        <v>752</v>
      </c>
      <c r="K1251" t="s">
        <v>30</v>
      </c>
      <c r="L1251" s="2">
        <v>3926331</v>
      </c>
      <c r="M1251" s="2">
        <v>496365</v>
      </c>
      <c r="N1251" s="2">
        <v>400483</v>
      </c>
      <c r="O1251" s="2">
        <v>462671</v>
      </c>
      <c r="P1251" t="s">
        <v>24</v>
      </c>
      <c r="Q1251" t="s">
        <v>24</v>
      </c>
    </row>
    <row r="1252" spans="1:17" x14ac:dyDescent="0.25">
      <c r="A1252" t="s">
        <v>4237</v>
      </c>
      <c r="B1252" t="s">
        <v>4238</v>
      </c>
      <c r="C1252" s="1">
        <v>41214</v>
      </c>
      <c r="D1252" s="1">
        <v>41578</v>
      </c>
      <c r="E1252" t="s">
        <v>40</v>
      </c>
      <c r="G1252" t="s">
        <v>41</v>
      </c>
      <c r="H1252" t="s">
        <v>42</v>
      </c>
      <c r="I1252" t="str">
        <f>"53201"</f>
        <v>53201</v>
      </c>
      <c r="J1252" t="s">
        <v>22</v>
      </c>
      <c r="K1252" t="s">
        <v>30</v>
      </c>
      <c r="L1252" s="2">
        <v>3919931</v>
      </c>
      <c r="M1252" s="2">
        <v>2644657</v>
      </c>
      <c r="N1252" s="2">
        <v>0</v>
      </c>
      <c r="O1252" s="2">
        <v>180319</v>
      </c>
      <c r="P1252" t="s">
        <v>24</v>
      </c>
      <c r="Q1252" t="s">
        <v>24</v>
      </c>
    </row>
    <row r="1253" spans="1:17" x14ac:dyDescent="0.25">
      <c r="A1253" t="s">
        <v>3875</v>
      </c>
      <c r="B1253" t="s">
        <v>3876</v>
      </c>
      <c r="C1253" s="1">
        <v>41275</v>
      </c>
      <c r="D1253" s="1">
        <v>41639</v>
      </c>
      <c r="E1253" t="s">
        <v>3877</v>
      </c>
      <c r="G1253" t="s">
        <v>3707</v>
      </c>
      <c r="H1253" t="s">
        <v>29</v>
      </c>
      <c r="I1253" t="str">
        <f>"60526"</f>
        <v>60526</v>
      </c>
      <c r="J1253" t="s">
        <v>22</v>
      </c>
      <c r="K1253" t="s">
        <v>30</v>
      </c>
      <c r="L1253" s="2">
        <v>3919637</v>
      </c>
      <c r="M1253" s="2">
        <v>2464530</v>
      </c>
      <c r="N1253" s="2">
        <v>1618</v>
      </c>
      <c r="O1253" s="2">
        <v>122621</v>
      </c>
      <c r="P1253" t="s">
        <v>24</v>
      </c>
      <c r="Q1253" t="s">
        <v>24</v>
      </c>
    </row>
    <row r="1254" spans="1:17" x14ac:dyDescent="0.25">
      <c r="A1254" t="s">
        <v>4409</v>
      </c>
      <c r="B1254" t="s">
        <v>4410</v>
      </c>
      <c r="C1254" s="1">
        <v>41214</v>
      </c>
      <c r="D1254" s="1">
        <v>41578</v>
      </c>
      <c r="E1254" t="s">
        <v>4411</v>
      </c>
      <c r="G1254" t="s">
        <v>4412</v>
      </c>
      <c r="H1254" t="s">
        <v>21</v>
      </c>
      <c r="I1254" t="str">
        <f>"46783"</f>
        <v>46783</v>
      </c>
      <c r="J1254" t="s">
        <v>63</v>
      </c>
      <c r="K1254" t="s">
        <v>79</v>
      </c>
      <c r="L1254" s="2">
        <v>3914227</v>
      </c>
      <c r="M1254" s="2">
        <v>3246515</v>
      </c>
      <c r="N1254" s="2">
        <v>2368094</v>
      </c>
      <c r="O1254" s="2">
        <v>3318696</v>
      </c>
      <c r="P1254" s="2">
        <v>86432</v>
      </c>
      <c r="Q1254" s="2">
        <v>32264</v>
      </c>
    </row>
    <row r="1255" spans="1:17" x14ac:dyDescent="0.25">
      <c r="A1255" t="s">
        <v>384</v>
      </c>
      <c r="B1255" t="s">
        <v>385</v>
      </c>
      <c r="C1255" s="1">
        <v>41275</v>
      </c>
      <c r="D1255" s="1">
        <v>41639</v>
      </c>
      <c r="E1255" t="s">
        <v>386</v>
      </c>
      <c r="G1255" t="s">
        <v>387</v>
      </c>
      <c r="H1255" t="s">
        <v>21</v>
      </c>
      <c r="I1255" t="str">
        <f>"46112"</f>
        <v>46112</v>
      </c>
      <c r="J1255" t="s">
        <v>22</v>
      </c>
      <c r="K1255" t="s">
        <v>23</v>
      </c>
      <c r="L1255" s="2">
        <v>3909873</v>
      </c>
      <c r="M1255" s="2">
        <v>436579</v>
      </c>
      <c r="N1255" s="2">
        <v>0</v>
      </c>
      <c r="O1255" s="2">
        <v>175979</v>
      </c>
      <c r="P1255" t="s">
        <v>24</v>
      </c>
      <c r="Q1255" t="s">
        <v>24</v>
      </c>
    </row>
    <row r="1256" spans="1:17" x14ac:dyDescent="0.25">
      <c r="A1256" t="s">
        <v>3492</v>
      </c>
      <c r="B1256" t="s">
        <v>3493</v>
      </c>
      <c r="C1256" s="1">
        <v>41275</v>
      </c>
      <c r="D1256" s="1">
        <v>41639</v>
      </c>
      <c r="E1256" t="s">
        <v>3494</v>
      </c>
      <c r="G1256" t="s">
        <v>28</v>
      </c>
      <c r="H1256" t="s">
        <v>29</v>
      </c>
      <c r="I1256" t="str">
        <f>"60611"</f>
        <v>60611</v>
      </c>
      <c r="J1256" t="s">
        <v>22</v>
      </c>
      <c r="K1256" t="s">
        <v>23</v>
      </c>
      <c r="L1256" s="2">
        <v>3905037</v>
      </c>
      <c r="M1256" s="2">
        <v>4203097</v>
      </c>
      <c r="N1256" s="2">
        <v>0</v>
      </c>
      <c r="O1256" s="2">
        <v>319062</v>
      </c>
      <c r="P1256" t="s">
        <v>24</v>
      </c>
      <c r="Q1256" t="s">
        <v>24</v>
      </c>
    </row>
    <row r="1257" spans="1:17" x14ac:dyDescent="0.25">
      <c r="A1257" t="s">
        <v>3235</v>
      </c>
      <c r="B1257" t="s">
        <v>3236</v>
      </c>
      <c r="C1257" s="1">
        <v>41275</v>
      </c>
      <c r="D1257" s="1">
        <v>41639</v>
      </c>
      <c r="E1257" t="s">
        <v>1856</v>
      </c>
      <c r="G1257" t="s">
        <v>751</v>
      </c>
      <c r="H1257" t="s">
        <v>62</v>
      </c>
      <c r="I1257" t="str">
        <f>"44144"</f>
        <v>44144</v>
      </c>
      <c r="J1257" t="s">
        <v>22</v>
      </c>
      <c r="K1257" t="s">
        <v>23</v>
      </c>
      <c r="L1257" s="2">
        <v>3902499</v>
      </c>
      <c r="M1257" s="2">
        <v>403122</v>
      </c>
      <c r="N1257" s="2">
        <v>0</v>
      </c>
      <c r="O1257" s="2">
        <v>214083</v>
      </c>
      <c r="P1257" t="s">
        <v>24</v>
      </c>
      <c r="Q1257" t="s">
        <v>24</v>
      </c>
    </row>
    <row r="1258" spans="1:17" x14ac:dyDescent="0.25">
      <c r="A1258" t="s">
        <v>4886</v>
      </c>
      <c r="B1258" t="s">
        <v>4887</v>
      </c>
      <c r="C1258" s="1">
        <v>40909</v>
      </c>
      <c r="D1258" s="1">
        <v>41274</v>
      </c>
      <c r="E1258" t="s">
        <v>4888</v>
      </c>
      <c r="G1258" t="s">
        <v>612</v>
      </c>
      <c r="H1258" t="s">
        <v>42</v>
      </c>
      <c r="I1258" t="str">
        <f>"53092"</f>
        <v>53092</v>
      </c>
      <c r="J1258" t="s">
        <v>22</v>
      </c>
      <c r="K1258" t="s">
        <v>30</v>
      </c>
      <c r="L1258" s="2">
        <v>3900605</v>
      </c>
      <c r="M1258" s="2">
        <v>1396678</v>
      </c>
      <c r="N1258" s="2">
        <v>6088</v>
      </c>
      <c r="O1258" s="2">
        <v>215909</v>
      </c>
      <c r="P1258" t="s">
        <v>24</v>
      </c>
      <c r="Q1258" t="s">
        <v>24</v>
      </c>
    </row>
    <row r="1259" spans="1:17" x14ac:dyDescent="0.25">
      <c r="A1259" t="s">
        <v>6721</v>
      </c>
      <c r="B1259" t="s">
        <v>6722</v>
      </c>
      <c r="C1259" s="1">
        <v>41275</v>
      </c>
      <c r="D1259" s="1">
        <v>41639</v>
      </c>
      <c r="E1259" t="s">
        <v>6723</v>
      </c>
      <c r="G1259" t="s">
        <v>28</v>
      </c>
      <c r="H1259" t="s">
        <v>29</v>
      </c>
      <c r="I1259" t="str">
        <f>"60606"</f>
        <v>60606</v>
      </c>
      <c r="J1259" t="s">
        <v>22</v>
      </c>
      <c r="K1259" t="s">
        <v>23</v>
      </c>
      <c r="L1259" s="2">
        <v>3898788</v>
      </c>
      <c r="M1259" s="2">
        <v>1407826</v>
      </c>
      <c r="N1259" s="2">
        <v>10000</v>
      </c>
      <c r="O1259" s="2">
        <v>265299</v>
      </c>
      <c r="P1259" t="s">
        <v>24</v>
      </c>
      <c r="Q1259" t="s">
        <v>24</v>
      </c>
    </row>
    <row r="1260" spans="1:17" x14ac:dyDescent="0.25">
      <c r="A1260" t="s">
        <v>4945</v>
      </c>
      <c r="B1260" t="s">
        <v>4946</v>
      </c>
      <c r="C1260" s="1">
        <v>41426</v>
      </c>
      <c r="D1260" s="1">
        <v>41790</v>
      </c>
      <c r="E1260" t="s">
        <v>1885</v>
      </c>
      <c r="G1260" t="s">
        <v>764</v>
      </c>
      <c r="H1260" t="s">
        <v>62</v>
      </c>
      <c r="I1260" t="str">
        <f>"43130"</f>
        <v>43130</v>
      </c>
      <c r="J1260" t="s">
        <v>22</v>
      </c>
      <c r="K1260" t="s">
        <v>23</v>
      </c>
      <c r="L1260" s="2">
        <v>3890651</v>
      </c>
      <c r="M1260" s="2">
        <v>2293709</v>
      </c>
      <c r="N1260" s="2">
        <v>6178</v>
      </c>
      <c r="O1260" s="2">
        <v>170473</v>
      </c>
      <c r="P1260" t="s">
        <v>24</v>
      </c>
      <c r="Q1260" t="s">
        <v>24</v>
      </c>
    </row>
    <row r="1261" spans="1:17" x14ac:dyDescent="0.25">
      <c r="A1261" t="s">
        <v>6364</v>
      </c>
      <c r="B1261" t="s">
        <v>6365</v>
      </c>
      <c r="C1261" s="1">
        <v>41275</v>
      </c>
      <c r="D1261" s="1">
        <v>41639</v>
      </c>
      <c r="E1261" t="s">
        <v>6366</v>
      </c>
      <c r="G1261" t="s">
        <v>6367</v>
      </c>
      <c r="H1261" t="s">
        <v>47</v>
      </c>
      <c r="I1261" t="str">
        <f>"49464"</f>
        <v>49464</v>
      </c>
      <c r="J1261" t="s">
        <v>22</v>
      </c>
      <c r="K1261" t="s">
        <v>30</v>
      </c>
      <c r="L1261" s="2">
        <v>3876707</v>
      </c>
      <c r="M1261" s="2">
        <v>1982843</v>
      </c>
      <c r="N1261" s="2">
        <v>0</v>
      </c>
      <c r="O1261" s="2">
        <v>443164</v>
      </c>
      <c r="P1261" t="s">
        <v>24</v>
      </c>
      <c r="Q1261" t="s">
        <v>24</v>
      </c>
    </row>
    <row r="1262" spans="1:17" x14ac:dyDescent="0.25">
      <c r="A1262" t="s">
        <v>7772</v>
      </c>
      <c r="B1262" t="s">
        <v>7773</v>
      </c>
      <c r="C1262" s="1">
        <v>41275</v>
      </c>
      <c r="D1262" s="1">
        <v>41639</v>
      </c>
      <c r="E1262" t="s">
        <v>7774</v>
      </c>
      <c r="G1262" t="s">
        <v>337</v>
      </c>
      <c r="H1262" t="s">
        <v>62</v>
      </c>
      <c r="I1262" t="str">
        <f>"44115"</f>
        <v>44115</v>
      </c>
      <c r="J1262" t="s">
        <v>22</v>
      </c>
      <c r="K1262" t="s">
        <v>23</v>
      </c>
      <c r="L1262" s="2">
        <v>3866259</v>
      </c>
      <c r="M1262" s="2">
        <v>1703847</v>
      </c>
      <c r="N1262" s="2">
        <v>0</v>
      </c>
      <c r="O1262" s="2">
        <v>182197</v>
      </c>
      <c r="P1262" t="s">
        <v>24</v>
      </c>
      <c r="Q1262" t="s">
        <v>24</v>
      </c>
    </row>
    <row r="1263" spans="1:17" x14ac:dyDescent="0.25">
      <c r="A1263" t="s">
        <v>6246</v>
      </c>
      <c r="B1263" t="s">
        <v>6247</v>
      </c>
      <c r="C1263" s="1">
        <v>41275</v>
      </c>
      <c r="D1263" s="1">
        <v>41639</v>
      </c>
      <c r="E1263" t="s">
        <v>50</v>
      </c>
      <c r="G1263" t="s">
        <v>28</v>
      </c>
      <c r="H1263" t="s">
        <v>29</v>
      </c>
      <c r="I1263" t="str">
        <f>"60603"</f>
        <v>60603</v>
      </c>
      <c r="J1263" t="s">
        <v>22</v>
      </c>
      <c r="K1263" t="s">
        <v>23</v>
      </c>
      <c r="L1263" s="2">
        <v>3864052</v>
      </c>
      <c r="M1263" s="2">
        <v>1306124</v>
      </c>
      <c r="N1263" s="2">
        <v>0</v>
      </c>
      <c r="O1263" s="2">
        <v>324430</v>
      </c>
      <c r="P1263" t="s">
        <v>24</v>
      </c>
      <c r="Q1263" t="s">
        <v>24</v>
      </c>
    </row>
    <row r="1264" spans="1:17" x14ac:dyDescent="0.25">
      <c r="A1264" t="s">
        <v>6518</v>
      </c>
      <c r="B1264" t="s">
        <v>6519</v>
      </c>
      <c r="C1264" s="1">
        <v>41275</v>
      </c>
      <c r="D1264" s="1">
        <v>41639</v>
      </c>
      <c r="E1264" t="s">
        <v>104</v>
      </c>
      <c r="G1264" t="s">
        <v>28</v>
      </c>
      <c r="H1264" t="s">
        <v>29</v>
      </c>
      <c r="I1264" t="str">
        <f>"60680"</f>
        <v>60680</v>
      </c>
      <c r="J1264" t="s">
        <v>22</v>
      </c>
      <c r="K1264" t="s">
        <v>30</v>
      </c>
      <c r="L1264" s="2">
        <v>3862600</v>
      </c>
      <c r="M1264" s="2">
        <v>1064084</v>
      </c>
      <c r="N1264" s="2">
        <v>0</v>
      </c>
      <c r="O1264" s="2">
        <v>191033</v>
      </c>
      <c r="P1264" t="s">
        <v>24</v>
      </c>
      <c r="Q1264" t="s">
        <v>24</v>
      </c>
    </row>
    <row r="1265" spans="1:17" x14ac:dyDescent="0.25">
      <c r="A1265" t="s">
        <v>1214</v>
      </c>
      <c r="B1265" t="s">
        <v>1215</v>
      </c>
      <c r="C1265" s="1">
        <v>41275</v>
      </c>
      <c r="D1265" s="1">
        <v>41639</v>
      </c>
      <c r="E1265" t="s">
        <v>1216</v>
      </c>
      <c r="G1265" t="s">
        <v>1217</v>
      </c>
      <c r="H1265" t="s">
        <v>62</v>
      </c>
      <c r="I1265" t="str">
        <f>"44333"</f>
        <v>44333</v>
      </c>
      <c r="J1265" t="s">
        <v>22</v>
      </c>
      <c r="K1265" t="s">
        <v>23</v>
      </c>
      <c r="L1265" s="2">
        <v>3849858</v>
      </c>
      <c r="M1265" s="2">
        <v>1442045</v>
      </c>
      <c r="N1265" s="2">
        <v>0</v>
      </c>
      <c r="O1265" s="2">
        <v>1242037</v>
      </c>
      <c r="P1265" t="s">
        <v>24</v>
      </c>
      <c r="Q1265" t="s">
        <v>24</v>
      </c>
    </row>
    <row r="1266" spans="1:17" x14ac:dyDescent="0.25">
      <c r="A1266" t="s">
        <v>173</v>
      </c>
      <c r="B1266" t="s">
        <v>174</v>
      </c>
      <c r="C1266" s="1">
        <v>41275</v>
      </c>
      <c r="D1266" s="1">
        <v>41639</v>
      </c>
      <c r="E1266" t="s">
        <v>175</v>
      </c>
      <c r="G1266" t="s">
        <v>176</v>
      </c>
      <c r="H1266" t="s">
        <v>47</v>
      </c>
      <c r="I1266" t="str">
        <f>"48439"</f>
        <v>48439</v>
      </c>
      <c r="J1266" t="s">
        <v>22</v>
      </c>
      <c r="K1266" t="s">
        <v>23</v>
      </c>
      <c r="L1266" s="2">
        <v>3844356</v>
      </c>
      <c r="M1266" s="2">
        <v>6985288</v>
      </c>
      <c r="N1266" s="2">
        <v>0</v>
      </c>
      <c r="O1266" s="2">
        <v>207569</v>
      </c>
      <c r="P1266" t="s">
        <v>24</v>
      </c>
      <c r="Q1266" t="s">
        <v>24</v>
      </c>
    </row>
    <row r="1267" spans="1:17" x14ac:dyDescent="0.25">
      <c r="A1267" t="s">
        <v>3052</v>
      </c>
      <c r="B1267" t="s">
        <v>3053</v>
      </c>
      <c r="C1267" s="1">
        <v>41275</v>
      </c>
      <c r="D1267" s="1">
        <v>41639</v>
      </c>
      <c r="E1267" t="s">
        <v>3054</v>
      </c>
      <c r="G1267" t="s">
        <v>28</v>
      </c>
      <c r="H1267" t="s">
        <v>29</v>
      </c>
      <c r="I1267" t="str">
        <f>"60611"</f>
        <v>60611</v>
      </c>
      <c r="J1267" t="s">
        <v>22</v>
      </c>
      <c r="K1267" t="s">
        <v>91</v>
      </c>
      <c r="L1267" s="2">
        <v>3838511</v>
      </c>
      <c r="M1267" s="2">
        <v>692635</v>
      </c>
      <c r="N1267" s="2">
        <v>0</v>
      </c>
      <c r="O1267" s="2">
        <v>570068</v>
      </c>
      <c r="P1267" t="s">
        <v>24</v>
      </c>
      <c r="Q1267" t="s">
        <v>24</v>
      </c>
    </row>
    <row r="1268" spans="1:17" x14ac:dyDescent="0.25">
      <c r="A1268" t="s">
        <v>3562</v>
      </c>
      <c r="B1268" t="s">
        <v>3563</v>
      </c>
      <c r="C1268" s="1">
        <v>41275</v>
      </c>
      <c r="D1268" s="1">
        <v>41639</v>
      </c>
      <c r="E1268" t="s">
        <v>3564</v>
      </c>
      <c r="G1268" t="s">
        <v>139</v>
      </c>
      <c r="H1268" t="s">
        <v>47</v>
      </c>
      <c r="I1268" t="str">
        <f>"49546"</f>
        <v>49546</v>
      </c>
      <c r="J1268" t="s">
        <v>22</v>
      </c>
      <c r="K1268" t="s">
        <v>30</v>
      </c>
      <c r="L1268" s="2">
        <v>3837374</v>
      </c>
      <c r="M1268" s="2">
        <v>3848819</v>
      </c>
      <c r="N1268" s="2">
        <v>0</v>
      </c>
      <c r="O1268" s="2">
        <v>225073</v>
      </c>
      <c r="P1268" t="s">
        <v>24</v>
      </c>
      <c r="Q1268" t="s">
        <v>24</v>
      </c>
    </row>
    <row r="1269" spans="1:17" x14ac:dyDescent="0.25">
      <c r="A1269" t="s">
        <v>5946</v>
      </c>
      <c r="B1269" t="s">
        <v>5947</v>
      </c>
      <c r="C1269" s="1">
        <v>40909</v>
      </c>
      <c r="D1269" s="1">
        <v>41274</v>
      </c>
      <c r="E1269" t="s">
        <v>5948</v>
      </c>
      <c r="G1269" t="s">
        <v>337</v>
      </c>
      <c r="H1269" t="s">
        <v>62</v>
      </c>
      <c r="I1269" t="str">
        <f>"44114"</f>
        <v>44114</v>
      </c>
      <c r="J1269" t="s">
        <v>22</v>
      </c>
      <c r="K1269" t="s">
        <v>30</v>
      </c>
      <c r="L1269" s="2">
        <v>3833703</v>
      </c>
      <c r="M1269" s="2">
        <v>3483508</v>
      </c>
      <c r="N1269" s="2">
        <v>0</v>
      </c>
      <c r="O1269" s="2">
        <v>426814</v>
      </c>
      <c r="P1269" t="s">
        <v>24</v>
      </c>
      <c r="Q1269" t="s">
        <v>24</v>
      </c>
    </row>
    <row r="1270" spans="1:17" x14ac:dyDescent="0.25">
      <c r="A1270" t="s">
        <v>304</v>
      </c>
      <c r="B1270" t="s">
        <v>305</v>
      </c>
      <c r="C1270" s="1">
        <v>41275</v>
      </c>
      <c r="D1270" s="1">
        <v>41639</v>
      </c>
      <c r="E1270" t="s">
        <v>306</v>
      </c>
      <c r="G1270" t="s">
        <v>307</v>
      </c>
      <c r="H1270" t="s">
        <v>29</v>
      </c>
      <c r="I1270" t="str">
        <f>"60093"</f>
        <v>60093</v>
      </c>
      <c r="J1270" t="s">
        <v>22</v>
      </c>
      <c r="K1270" t="s">
        <v>30</v>
      </c>
      <c r="L1270" s="2">
        <v>3826894</v>
      </c>
      <c r="M1270" s="2">
        <v>1012256</v>
      </c>
      <c r="N1270" s="2">
        <v>0</v>
      </c>
      <c r="O1270" s="2">
        <v>162047</v>
      </c>
      <c r="P1270" t="s">
        <v>24</v>
      </c>
      <c r="Q1270" t="s">
        <v>24</v>
      </c>
    </row>
    <row r="1271" spans="1:17" x14ac:dyDescent="0.25">
      <c r="A1271" t="s">
        <v>3506</v>
      </c>
      <c r="B1271" t="s">
        <v>3507</v>
      </c>
      <c r="C1271" s="1">
        <v>41275</v>
      </c>
      <c r="D1271" s="1">
        <v>41639</v>
      </c>
      <c r="E1271" t="s">
        <v>50</v>
      </c>
      <c r="G1271" t="s">
        <v>28</v>
      </c>
      <c r="H1271" t="s">
        <v>29</v>
      </c>
      <c r="I1271" t="str">
        <f>"60603"</f>
        <v>60603</v>
      </c>
      <c r="J1271" t="s">
        <v>22</v>
      </c>
      <c r="K1271" t="s">
        <v>30</v>
      </c>
      <c r="L1271" s="2">
        <v>3822605</v>
      </c>
      <c r="M1271" s="2">
        <v>1821329</v>
      </c>
      <c r="N1271" s="2">
        <v>0</v>
      </c>
      <c r="O1271" s="2">
        <v>221138</v>
      </c>
      <c r="P1271" t="s">
        <v>24</v>
      </c>
      <c r="Q1271" t="s">
        <v>24</v>
      </c>
    </row>
    <row r="1272" spans="1:17" x14ac:dyDescent="0.25">
      <c r="A1272" t="s">
        <v>2373</v>
      </c>
      <c r="B1272" t="s">
        <v>2374</v>
      </c>
      <c r="C1272" s="1">
        <v>41275</v>
      </c>
      <c r="D1272" s="1">
        <v>41639</v>
      </c>
      <c r="E1272" t="s">
        <v>2375</v>
      </c>
      <c r="G1272" t="s">
        <v>337</v>
      </c>
      <c r="H1272" t="s">
        <v>62</v>
      </c>
      <c r="I1272" t="str">
        <f>"44114"</f>
        <v>44114</v>
      </c>
      <c r="J1272" t="s">
        <v>22</v>
      </c>
      <c r="K1272" t="s">
        <v>30</v>
      </c>
      <c r="L1272" s="2">
        <v>3818206</v>
      </c>
      <c r="M1272" s="2">
        <v>259441</v>
      </c>
      <c r="N1272" s="2">
        <v>0</v>
      </c>
      <c r="O1272" s="2">
        <v>199526</v>
      </c>
      <c r="P1272" t="s">
        <v>24</v>
      </c>
      <c r="Q1272" t="s">
        <v>24</v>
      </c>
    </row>
    <row r="1273" spans="1:17" x14ac:dyDescent="0.25">
      <c r="A1273" t="s">
        <v>5497</v>
      </c>
      <c r="B1273" t="s">
        <v>5498</v>
      </c>
      <c r="C1273" s="1">
        <v>40878</v>
      </c>
      <c r="D1273" s="1">
        <v>41243</v>
      </c>
      <c r="E1273" t="s">
        <v>5499</v>
      </c>
      <c r="G1273" t="s">
        <v>28</v>
      </c>
      <c r="H1273" t="s">
        <v>29</v>
      </c>
      <c r="I1273" t="str">
        <f>"60603"</f>
        <v>60603</v>
      </c>
      <c r="J1273" t="s">
        <v>22</v>
      </c>
      <c r="K1273" t="s">
        <v>23</v>
      </c>
      <c r="L1273" s="2">
        <v>3817326</v>
      </c>
      <c r="M1273" s="2">
        <v>1881058</v>
      </c>
      <c r="N1273" s="2">
        <v>0</v>
      </c>
      <c r="O1273" s="2">
        <v>233217</v>
      </c>
      <c r="P1273" t="s">
        <v>24</v>
      </c>
      <c r="Q1273" t="s">
        <v>24</v>
      </c>
    </row>
    <row r="1274" spans="1:17" x14ac:dyDescent="0.25">
      <c r="A1274" t="s">
        <v>5292</v>
      </c>
      <c r="B1274" t="s">
        <v>5293</v>
      </c>
      <c r="C1274" s="1">
        <v>41275</v>
      </c>
      <c r="D1274" s="1">
        <v>41639</v>
      </c>
      <c r="E1274" t="s">
        <v>5294</v>
      </c>
      <c r="G1274" t="s">
        <v>640</v>
      </c>
      <c r="H1274" t="s">
        <v>42</v>
      </c>
      <c r="I1274" t="str">
        <f>"53217"</f>
        <v>53217</v>
      </c>
      <c r="J1274" t="s">
        <v>22</v>
      </c>
      <c r="K1274" t="s">
        <v>30</v>
      </c>
      <c r="L1274" s="2">
        <v>3813354</v>
      </c>
      <c r="M1274" s="2">
        <v>1672924</v>
      </c>
      <c r="N1274" s="2">
        <v>0</v>
      </c>
      <c r="O1274" s="2">
        <v>333890</v>
      </c>
      <c r="P1274" t="s">
        <v>24</v>
      </c>
      <c r="Q1274" t="s">
        <v>24</v>
      </c>
    </row>
    <row r="1275" spans="1:17" x14ac:dyDescent="0.25">
      <c r="A1275" t="s">
        <v>5494</v>
      </c>
      <c r="B1275" t="s">
        <v>5495</v>
      </c>
      <c r="C1275" s="1">
        <v>41275</v>
      </c>
      <c r="D1275" s="1">
        <v>41639</v>
      </c>
      <c r="E1275" t="s">
        <v>5496</v>
      </c>
      <c r="G1275" t="s">
        <v>751</v>
      </c>
      <c r="H1275" t="s">
        <v>62</v>
      </c>
      <c r="I1275" t="str">
        <f>"44144"</f>
        <v>44144</v>
      </c>
      <c r="J1275" t="s">
        <v>63</v>
      </c>
      <c r="K1275" t="s">
        <v>30</v>
      </c>
      <c r="L1275" s="2">
        <v>3812909</v>
      </c>
      <c r="M1275" s="2">
        <v>157447</v>
      </c>
      <c r="N1275" s="2">
        <v>0</v>
      </c>
      <c r="O1275" s="2">
        <v>98789</v>
      </c>
      <c r="P1275" s="2">
        <v>32114</v>
      </c>
      <c r="Q1275" t="s">
        <v>24</v>
      </c>
    </row>
    <row r="1276" spans="1:17" x14ac:dyDescent="0.25">
      <c r="A1276" t="s">
        <v>784</v>
      </c>
      <c r="B1276" t="s">
        <v>785</v>
      </c>
      <c r="C1276" s="1">
        <v>40909</v>
      </c>
      <c r="D1276" s="1">
        <v>41274</v>
      </c>
      <c r="E1276" t="s">
        <v>489</v>
      </c>
      <c r="G1276" t="s">
        <v>337</v>
      </c>
      <c r="H1276" t="s">
        <v>62</v>
      </c>
      <c r="I1276" t="str">
        <f>"44101"</f>
        <v>44101</v>
      </c>
      <c r="J1276" t="s">
        <v>22</v>
      </c>
      <c r="K1276" t="s">
        <v>30</v>
      </c>
      <c r="L1276" s="2">
        <v>3809014</v>
      </c>
      <c r="M1276" s="2">
        <v>645114</v>
      </c>
      <c r="N1276" s="2">
        <v>0</v>
      </c>
      <c r="O1276" s="2">
        <v>183586</v>
      </c>
      <c r="P1276" t="s">
        <v>24</v>
      </c>
      <c r="Q1276" t="s">
        <v>24</v>
      </c>
    </row>
    <row r="1277" spans="1:17" x14ac:dyDescent="0.25">
      <c r="A1277" t="s">
        <v>7712</v>
      </c>
      <c r="B1277" t="s">
        <v>7713</v>
      </c>
      <c r="C1277" s="1">
        <v>41275</v>
      </c>
      <c r="D1277" s="1">
        <v>41639</v>
      </c>
      <c r="E1277" t="s">
        <v>986</v>
      </c>
      <c r="G1277" t="s">
        <v>987</v>
      </c>
      <c r="H1277" t="s">
        <v>47</v>
      </c>
      <c r="I1277" t="str">
        <f>"48009"</f>
        <v>48009</v>
      </c>
      <c r="J1277" t="s">
        <v>22</v>
      </c>
      <c r="K1277" t="s">
        <v>30</v>
      </c>
      <c r="L1277" s="2">
        <v>3807752</v>
      </c>
      <c r="M1277" s="2">
        <v>2652815</v>
      </c>
      <c r="N1277" s="2">
        <v>0</v>
      </c>
      <c r="O1277" s="2">
        <v>517446</v>
      </c>
      <c r="P1277" t="s">
        <v>24</v>
      </c>
      <c r="Q1277" t="s">
        <v>24</v>
      </c>
    </row>
    <row r="1278" spans="1:17" x14ac:dyDescent="0.25">
      <c r="A1278" t="s">
        <v>1345</v>
      </c>
      <c r="B1278" t="s">
        <v>1346</v>
      </c>
      <c r="C1278" s="1">
        <v>41275</v>
      </c>
      <c r="D1278" s="1">
        <v>41639</v>
      </c>
      <c r="E1278" t="s">
        <v>1347</v>
      </c>
      <c r="G1278" t="s">
        <v>1348</v>
      </c>
      <c r="H1278" t="s">
        <v>29</v>
      </c>
      <c r="I1278" t="str">
        <f>"60126"</f>
        <v>60126</v>
      </c>
      <c r="J1278" t="s">
        <v>63</v>
      </c>
      <c r="K1278" t="s">
        <v>79</v>
      </c>
      <c r="L1278" s="2">
        <v>3803518</v>
      </c>
      <c r="M1278" s="2">
        <v>1027880</v>
      </c>
      <c r="N1278" s="2">
        <v>5731</v>
      </c>
      <c r="O1278" s="2">
        <v>824025</v>
      </c>
      <c r="P1278" s="2">
        <v>36251</v>
      </c>
      <c r="Q1278" s="2">
        <v>27031</v>
      </c>
    </row>
    <row r="1279" spans="1:17" x14ac:dyDescent="0.25">
      <c r="A1279" t="s">
        <v>4509</v>
      </c>
      <c r="B1279" t="s">
        <v>4510</v>
      </c>
      <c r="C1279" s="1">
        <v>41275</v>
      </c>
      <c r="D1279" s="1">
        <v>41639</v>
      </c>
      <c r="E1279" t="s">
        <v>4511</v>
      </c>
      <c r="G1279" t="s">
        <v>4512</v>
      </c>
      <c r="H1279" t="s">
        <v>29</v>
      </c>
      <c r="I1279" t="str">
        <f>"60101"</f>
        <v>60101</v>
      </c>
      <c r="J1279" t="s">
        <v>22</v>
      </c>
      <c r="K1279" t="s">
        <v>30</v>
      </c>
      <c r="L1279" s="2">
        <v>3803433</v>
      </c>
      <c r="M1279" s="2">
        <v>398523</v>
      </c>
      <c r="N1279" s="2">
        <v>0</v>
      </c>
      <c r="O1279" s="2">
        <v>233194</v>
      </c>
      <c r="P1279" t="s">
        <v>24</v>
      </c>
      <c r="Q1279" t="s">
        <v>24</v>
      </c>
    </row>
    <row r="1280" spans="1:17" x14ac:dyDescent="0.25">
      <c r="A1280" t="s">
        <v>3466</v>
      </c>
      <c r="B1280" t="s">
        <v>3467</v>
      </c>
      <c r="C1280" s="1">
        <v>41548</v>
      </c>
      <c r="D1280" s="1">
        <v>41912</v>
      </c>
      <c r="E1280" t="s">
        <v>1614</v>
      </c>
      <c r="G1280" t="s">
        <v>28</v>
      </c>
      <c r="H1280" t="s">
        <v>29</v>
      </c>
      <c r="I1280" t="str">
        <f>"60603"</f>
        <v>60603</v>
      </c>
      <c r="J1280" t="s">
        <v>22</v>
      </c>
      <c r="K1280" t="s">
        <v>30</v>
      </c>
      <c r="L1280" s="2">
        <v>3795311</v>
      </c>
      <c r="M1280" s="2">
        <v>1304122</v>
      </c>
      <c r="N1280" s="2">
        <v>604</v>
      </c>
      <c r="O1280" s="2">
        <v>567955</v>
      </c>
      <c r="P1280" t="s">
        <v>24</v>
      </c>
      <c r="Q1280" t="s">
        <v>24</v>
      </c>
    </row>
    <row r="1281" spans="1:17" x14ac:dyDescent="0.25">
      <c r="A1281" t="s">
        <v>2254</v>
      </c>
      <c r="B1281" t="s">
        <v>2255</v>
      </c>
      <c r="C1281" s="1">
        <v>41091</v>
      </c>
      <c r="D1281" s="1">
        <v>41455</v>
      </c>
      <c r="E1281" t="s">
        <v>2256</v>
      </c>
      <c r="G1281" t="s">
        <v>337</v>
      </c>
      <c r="H1281" t="s">
        <v>62</v>
      </c>
      <c r="I1281" t="str">
        <f>"44122"</f>
        <v>44122</v>
      </c>
      <c r="J1281" t="s">
        <v>63</v>
      </c>
      <c r="K1281" t="s">
        <v>23</v>
      </c>
      <c r="L1281" s="2">
        <v>3793591</v>
      </c>
      <c r="M1281" s="2">
        <v>124109</v>
      </c>
      <c r="N1281" s="2">
        <v>153475</v>
      </c>
      <c r="O1281" s="2">
        <v>216581</v>
      </c>
      <c r="P1281" s="2">
        <v>15581</v>
      </c>
      <c r="Q1281" s="2">
        <v>0</v>
      </c>
    </row>
    <row r="1282" spans="1:17" x14ac:dyDescent="0.25">
      <c r="A1282" t="s">
        <v>292</v>
      </c>
      <c r="B1282" t="s">
        <v>293</v>
      </c>
      <c r="C1282" s="1">
        <v>41275</v>
      </c>
      <c r="D1282" s="1">
        <v>41639</v>
      </c>
      <c r="E1282" t="s">
        <v>294</v>
      </c>
      <c r="G1282" t="s">
        <v>295</v>
      </c>
      <c r="H1282" t="s">
        <v>42</v>
      </c>
      <c r="I1282" t="str">
        <f>"53211"</f>
        <v>53211</v>
      </c>
      <c r="J1282" t="s">
        <v>22</v>
      </c>
      <c r="K1282" t="s">
        <v>30</v>
      </c>
      <c r="L1282" s="2">
        <v>3791905</v>
      </c>
      <c r="M1282" s="2">
        <v>2151264</v>
      </c>
      <c r="N1282" s="2">
        <v>0</v>
      </c>
      <c r="O1282" s="2">
        <v>181160</v>
      </c>
      <c r="P1282" t="s">
        <v>24</v>
      </c>
      <c r="Q1282" t="s">
        <v>24</v>
      </c>
    </row>
    <row r="1283" spans="1:17" x14ac:dyDescent="0.25">
      <c r="A1283" t="s">
        <v>4924</v>
      </c>
      <c r="B1283" t="s">
        <v>4925</v>
      </c>
      <c r="C1283" s="1">
        <v>41426</v>
      </c>
      <c r="D1283" s="1">
        <v>41790</v>
      </c>
      <c r="E1283" t="s">
        <v>4926</v>
      </c>
      <c r="G1283" t="s">
        <v>77</v>
      </c>
      <c r="H1283" t="s">
        <v>78</v>
      </c>
      <c r="I1283" t="str">
        <f>"40222"</f>
        <v>40222</v>
      </c>
      <c r="J1283" t="s">
        <v>22</v>
      </c>
      <c r="K1283" t="s">
        <v>23</v>
      </c>
      <c r="L1283" s="2">
        <v>3780229</v>
      </c>
      <c r="M1283" s="2">
        <v>1922229</v>
      </c>
      <c r="N1283" s="2">
        <v>0</v>
      </c>
      <c r="O1283" s="2">
        <v>201432</v>
      </c>
      <c r="P1283" t="s">
        <v>24</v>
      </c>
      <c r="Q1283" t="s">
        <v>24</v>
      </c>
    </row>
    <row r="1284" spans="1:17" x14ac:dyDescent="0.25">
      <c r="A1284" t="s">
        <v>1477</v>
      </c>
      <c r="B1284" t="s">
        <v>1478</v>
      </c>
      <c r="C1284" s="1">
        <v>41456</v>
      </c>
      <c r="D1284" s="1">
        <v>41820</v>
      </c>
      <c r="E1284" t="s">
        <v>1479</v>
      </c>
      <c r="F1284" t="s">
        <v>1480</v>
      </c>
      <c r="G1284" t="s">
        <v>41</v>
      </c>
      <c r="H1284" t="s">
        <v>42</v>
      </c>
      <c r="I1284" t="str">
        <f>"53212"</f>
        <v>53212</v>
      </c>
      <c r="J1284" t="s">
        <v>63</v>
      </c>
      <c r="K1284" t="s">
        <v>79</v>
      </c>
      <c r="L1284" s="2">
        <v>3778534</v>
      </c>
      <c r="M1284" s="2">
        <v>2022220</v>
      </c>
      <c r="N1284" s="2">
        <v>53544</v>
      </c>
      <c r="O1284" s="2">
        <v>1625651</v>
      </c>
      <c r="P1284" s="2">
        <v>130262</v>
      </c>
      <c r="Q1284" s="2">
        <v>119179</v>
      </c>
    </row>
    <row r="1285" spans="1:17" x14ac:dyDescent="0.25">
      <c r="A1285" t="s">
        <v>5730</v>
      </c>
      <c r="B1285" t="s">
        <v>5731</v>
      </c>
      <c r="C1285" s="1">
        <v>41275</v>
      </c>
      <c r="D1285" s="1">
        <v>41639</v>
      </c>
      <c r="E1285" t="s">
        <v>5732</v>
      </c>
      <c r="G1285" t="s">
        <v>119</v>
      </c>
      <c r="H1285" t="s">
        <v>29</v>
      </c>
      <c r="I1285" t="str">
        <f>"60089"</f>
        <v>60089</v>
      </c>
      <c r="J1285" t="s">
        <v>22</v>
      </c>
      <c r="K1285" t="s">
        <v>23</v>
      </c>
      <c r="L1285" s="2">
        <v>3778373</v>
      </c>
      <c r="M1285" s="2">
        <v>899472</v>
      </c>
      <c r="N1285" s="2">
        <v>516326</v>
      </c>
      <c r="O1285" s="2">
        <v>482322</v>
      </c>
      <c r="P1285" t="s">
        <v>24</v>
      </c>
      <c r="Q1285" t="s">
        <v>24</v>
      </c>
    </row>
    <row r="1286" spans="1:17" x14ac:dyDescent="0.25">
      <c r="A1286" t="s">
        <v>6328</v>
      </c>
      <c r="B1286" t="s">
        <v>6329</v>
      </c>
      <c r="C1286" s="1">
        <v>41456</v>
      </c>
      <c r="D1286" s="1">
        <v>41820</v>
      </c>
      <c r="E1286" t="s">
        <v>5499</v>
      </c>
      <c r="G1286" t="s">
        <v>28</v>
      </c>
      <c r="H1286" t="s">
        <v>29</v>
      </c>
      <c r="I1286" t="str">
        <f>"60603"</f>
        <v>60603</v>
      </c>
      <c r="J1286" t="s">
        <v>22</v>
      </c>
      <c r="K1286" t="s">
        <v>64</v>
      </c>
      <c r="L1286" s="2">
        <v>3774819</v>
      </c>
      <c r="M1286" s="2">
        <v>1052298</v>
      </c>
      <c r="N1286" s="2">
        <v>0</v>
      </c>
      <c r="O1286" s="2">
        <v>207468</v>
      </c>
      <c r="P1286" t="s">
        <v>24</v>
      </c>
      <c r="Q1286" t="s">
        <v>24</v>
      </c>
    </row>
    <row r="1287" spans="1:17" x14ac:dyDescent="0.25">
      <c r="A1287" t="s">
        <v>5345</v>
      </c>
      <c r="B1287" t="s">
        <v>5346</v>
      </c>
      <c r="C1287" s="1">
        <v>40909</v>
      </c>
      <c r="D1287" s="1">
        <v>41274</v>
      </c>
      <c r="E1287" t="s">
        <v>1708</v>
      </c>
      <c r="G1287" t="s">
        <v>28</v>
      </c>
      <c r="H1287" t="s">
        <v>29</v>
      </c>
      <c r="I1287" t="str">
        <f>"60606"</f>
        <v>60606</v>
      </c>
      <c r="J1287" t="s">
        <v>22</v>
      </c>
      <c r="K1287" t="s">
        <v>23</v>
      </c>
      <c r="L1287" s="2">
        <v>3769504</v>
      </c>
      <c r="M1287" s="2">
        <v>695068</v>
      </c>
      <c r="N1287" s="2">
        <v>26421</v>
      </c>
      <c r="O1287" s="2">
        <v>544183</v>
      </c>
      <c r="P1287" t="s">
        <v>24</v>
      </c>
      <c r="Q1287" t="s">
        <v>24</v>
      </c>
    </row>
    <row r="1288" spans="1:17" x14ac:dyDescent="0.25">
      <c r="A1288" t="s">
        <v>7643</v>
      </c>
      <c r="B1288" t="s">
        <v>7644</v>
      </c>
      <c r="C1288" s="1">
        <v>41275</v>
      </c>
      <c r="D1288" s="1">
        <v>41639</v>
      </c>
      <c r="E1288" t="s">
        <v>7645</v>
      </c>
      <c r="G1288" t="s">
        <v>3868</v>
      </c>
      <c r="H1288" t="s">
        <v>62</v>
      </c>
      <c r="I1288" t="str">
        <f>"44131"</f>
        <v>44131</v>
      </c>
      <c r="J1288" t="s">
        <v>22</v>
      </c>
      <c r="K1288" t="s">
        <v>30</v>
      </c>
      <c r="L1288" s="2">
        <v>3766909</v>
      </c>
      <c r="M1288" s="2">
        <v>1028777</v>
      </c>
      <c r="N1288" s="2">
        <v>0</v>
      </c>
      <c r="O1288" s="2">
        <v>161090</v>
      </c>
      <c r="P1288" t="s">
        <v>24</v>
      </c>
      <c r="Q1288" t="s">
        <v>24</v>
      </c>
    </row>
    <row r="1289" spans="1:17" x14ac:dyDescent="0.25">
      <c r="A1289" t="s">
        <v>2307</v>
      </c>
      <c r="B1289" t="s">
        <v>2308</v>
      </c>
      <c r="C1289" s="1">
        <v>41275</v>
      </c>
      <c r="D1289" s="1">
        <v>41639</v>
      </c>
      <c r="E1289" t="s">
        <v>2309</v>
      </c>
      <c r="G1289" t="s">
        <v>28</v>
      </c>
      <c r="H1289" t="s">
        <v>29</v>
      </c>
      <c r="I1289" t="str">
        <f>"60605"</f>
        <v>60605</v>
      </c>
      <c r="J1289" t="s">
        <v>22</v>
      </c>
      <c r="K1289" t="s">
        <v>23</v>
      </c>
      <c r="L1289" s="2">
        <v>3765402</v>
      </c>
      <c r="M1289" s="2">
        <v>1442203</v>
      </c>
      <c r="N1289" s="2">
        <v>0</v>
      </c>
      <c r="O1289" s="2">
        <v>597574</v>
      </c>
      <c r="P1289" t="s">
        <v>24</v>
      </c>
      <c r="Q1289" t="s">
        <v>24</v>
      </c>
    </row>
    <row r="1290" spans="1:17" x14ac:dyDescent="0.25">
      <c r="A1290" t="s">
        <v>1390</v>
      </c>
      <c r="B1290" t="s">
        <v>1391</v>
      </c>
      <c r="C1290" s="1">
        <v>41275</v>
      </c>
      <c r="D1290" s="1">
        <v>41639</v>
      </c>
      <c r="E1290" t="s">
        <v>658</v>
      </c>
      <c r="G1290" t="s">
        <v>659</v>
      </c>
      <c r="H1290" t="s">
        <v>47</v>
      </c>
      <c r="I1290" t="str">
        <f>"48034"</f>
        <v>48034</v>
      </c>
      <c r="J1290" t="s">
        <v>22</v>
      </c>
      <c r="K1290" t="s">
        <v>23</v>
      </c>
      <c r="L1290" s="2">
        <v>3763588</v>
      </c>
      <c r="M1290" s="2">
        <v>1775960</v>
      </c>
      <c r="N1290" s="2">
        <v>0</v>
      </c>
      <c r="O1290" s="2">
        <v>678191</v>
      </c>
      <c r="P1290" t="s">
        <v>24</v>
      </c>
      <c r="Q1290" t="s">
        <v>24</v>
      </c>
    </row>
    <row r="1291" spans="1:17" x14ac:dyDescent="0.25">
      <c r="A1291" t="s">
        <v>4869</v>
      </c>
      <c r="B1291" t="s">
        <v>4870</v>
      </c>
      <c r="C1291" s="1">
        <v>40544</v>
      </c>
      <c r="D1291" s="1">
        <v>40908</v>
      </c>
      <c r="E1291" t="s">
        <v>4871</v>
      </c>
      <c r="G1291" t="s">
        <v>337</v>
      </c>
      <c r="H1291" t="s">
        <v>62</v>
      </c>
      <c r="I1291" t="str">
        <f>"44114"</f>
        <v>44114</v>
      </c>
      <c r="J1291" t="s">
        <v>63</v>
      </c>
      <c r="K1291" t="s">
        <v>30</v>
      </c>
      <c r="L1291" s="2">
        <v>3753871</v>
      </c>
      <c r="M1291" s="2">
        <v>2945251</v>
      </c>
      <c r="N1291" s="2">
        <v>686200</v>
      </c>
      <c r="O1291" s="2">
        <v>2925656</v>
      </c>
      <c r="P1291" s="2">
        <v>363222</v>
      </c>
      <c r="Q1291" s="2">
        <v>459050</v>
      </c>
    </row>
    <row r="1292" spans="1:17" x14ac:dyDescent="0.25">
      <c r="A1292" t="s">
        <v>7320</v>
      </c>
      <c r="B1292" t="s">
        <v>7321</v>
      </c>
      <c r="C1292" s="1">
        <v>41275</v>
      </c>
      <c r="D1292" s="1">
        <v>41639</v>
      </c>
      <c r="E1292" t="s">
        <v>7322</v>
      </c>
      <c r="G1292" t="s">
        <v>512</v>
      </c>
      <c r="H1292" t="s">
        <v>21</v>
      </c>
      <c r="I1292" t="str">
        <f>"46514"</f>
        <v>46514</v>
      </c>
      <c r="J1292" t="s">
        <v>22</v>
      </c>
      <c r="K1292" t="s">
        <v>79</v>
      </c>
      <c r="L1292" s="2">
        <v>3751345</v>
      </c>
      <c r="M1292" s="2">
        <v>3165279</v>
      </c>
      <c r="N1292" s="2">
        <v>3000</v>
      </c>
      <c r="O1292" s="2">
        <v>137179</v>
      </c>
      <c r="P1292" t="s">
        <v>24</v>
      </c>
      <c r="Q1292" t="s">
        <v>24</v>
      </c>
    </row>
    <row r="1293" spans="1:17" x14ac:dyDescent="0.25">
      <c r="A1293" t="s">
        <v>4192</v>
      </c>
      <c r="B1293" t="s">
        <v>4193</v>
      </c>
      <c r="C1293" s="1">
        <v>41275</v>
      </c>
      <c r="D1293" s="1">
        <v>41639</v>
      </c>
      <c r="E1293" t="s">
        <v>4194</v>
      </c>
      <c r="G1293" t="s">
        <v>783</v>
      </c>
      <c r="H1293" t="s">
        <v>21</v>
      </c>
      <c r="I1293" t="str">
        <f>"46082"</f>
        <v>46082</v>
      </c>
      <c r="J1293" t="s">
        <v>22</v>
      </c>
      <c r="K1293" t="s">
        <v>91</v>
      </c>
      <c r="L1293" s="2">
        <v>3747756</v>
      </c>
      <c r="M1293" s="2">
        <v>1035059</v>
      </c>
      <c r="N1293" s="2">
        <v>0</v>
      </c>
      <c r="O1293" s="2">
        <v>297799</v>
      </c>
      <c r="P1293" t="s">
        <v>24</v>
      </c>
      <c r="Q1293" t="s">
        <v>24</v>
      </c>
    </row>
    <row r="1294" spans="1:17" x14ac:dyDescent="0.25">
      <c r="A1294" t="s">
        <v>1377</v>
      </c>
      <c r="B1294" t="s">
        <v>1378</v>
      </c>
      <c r="C1294" s="1">
        <v>41548</v>
      </c>
      <c r="D1294" s="1">
        <v>41912</v>
      </c>
      <c r="E1294" t="s">
        <v>1379</v>
      </c>
      <c r="G1294" t="s">
        <v>1006</v>
      </c>
      <c r="H1294" t="s">
        <v>47</v>
      </c>
      <c r="I1294" t="str">
        <f>"48413"</f>
        <v>48413</v>
      </c>
      <c r="J1294" t="s">
        <v>63</v>
      </c>
      <c r="K1294" t="s">
        <v>64</v>
      </c>
      <c r="L1294" s="2">
        <v>3746820</v>
      </c>
      <c r="M1294" s="2">
        <v>624345</v>
      </c>
      <c r="N1294" s="2">
        <v>1451</v>
      </c>
      <c r="O1294" s="2">
        <v>182893</v>
      </c>
      <c r="P1294" s="2">
        <v>75766</v>
      </c>
      <c r="Q1294" s="2">
        <v>8400</v>
      </c>
    </row>
    <row r="1295" spans="1:17" x14ac:dyDescent="0.25">
      <c r="A1295" t="s">
        <v>1595</v>
      </c>
      <c r="B1295" t="s">
        <v>1596</v>
      </c>
      <c r="C1295" s="1">
        <v>41091</v>
      </c>
      <c r="D1295" s="1">
        <v>41455</v>
      </c>
      <c r="E1295" t="s">
        <v>1597</v>
      </c>
      <c r="G1295" t="s">
        <v>1598</v>
      </c>
      <c r="H1295" t="s">
        <v>29</v>
      </c>
      <c r="I1295" t="str">
        <f>"61550"</f>
        <v>61550</v>
      </c>
      <c r="J1295" t="s">
        <v>63</v>
      </c>
      <c r="K1295" t="s">
        <v>64</v>
      </c>
      <c r="L1295" s="2">
        <v>3739949</v>
      </c>
      <c r="M1295" s="2">
        <v>1412384</v>
      </c>
      <c r="N1295" s="2">
        <v>383686</v>
      </c>
      <c r="O1295" s="2">
        <v>355905</v>
      </c>
      <c r="P1295" s="2">
        <v>144483</v>
      </c>
      <c r="Q1295" s="2">
        <v>0</v>
      </c>
    </row>
    <row r="1296" spans="1:17" x14ac:dyDescent="0.25">
      <c r="A1296" t="s">
        <v>7293</v>
      </c>
      <c r="B1296" t="s">
        <v>7294</v>
      </c>
      <c r="C1296" s="1">
        <v>40909</v>
      </c>
      <c r="D1296" s="1">
        <v>41274</v>
      </c>
      <c r="E1296" t="s">
        <v>50</v>
      </c>
      <c r="G1296" t="s">
        <v>28</v>
      </c>
      <c r="H1296" t="s">
        <v>29</v>
      </c>
      <c r="I1296" t="str">
        <f>"60603"</f>
        <v>60603</v>
      </c>
      <c r="J1296" t="s">
        <v>22</v>
      </c>
      <c r="K1296" t="s">
        <v>23</v>
      </c>
      <c r="L1296" s="2">
        <v>3731057</v>
      </c>
      <c r="M1296" s="2">
        <v>330662566</v>
      </c>
      <c r="N1296" s="2">
        <v>0</v>
      </c>
      <c r="O1296" s="2">
        <v>396933160</v>
      </c>
      <c r="P1296" t="s">
        <v>24</v>
      </c>
      <c r="Q1296" t="s">
        <v>24</v>
      </c>
    </row>
    <row r="1297" spans="1:17" x14ac:dyDescent="0.25">
      <c r="A1297" t="s">
        <v>388</v>
      </c>
      <c r="B1297" t="s">
        <v>389</v>
      </c>
      <c r="C1297" s="1">
        <v>40909</v>
      </c>
      <c r="D1297" s="1">
        <v>41274</v>
      </c>
      <c r="E1297" t="s">
        <v>390</v>
      </c>
      <c r="G1297" t="s">
        <v>391</v>
      </c>
      <c r="H1297" t="s">
        <v>42</v>
      </c>
      <c r="I1297" t="str">
        <f>"54957"</f>
        <v>54957</v>
      </c>
      <c r="J1297" t="s">
        <v>22</v>
      </c>
      <c r="K1297" t="s">
        <v>23</v>
      </c>
      <c r="L1297" s="2">
        <v>3701545</v>
      </c>
      <c r="M1297" s="2">
        <v>4302425</v>
      </c>
      <c r="N1297" s="2">
        <v>0</v>
      </c>
      <c r="O1297" s="2">
        <v>157294</v>
      </c>
      <c r="P1297" t="s">
        <v>24</v>
      </c>
      <c r="Q1297" t="s">
        <v>24</v>
      </c>
    </row>
    <row r="1298" spans="1:17" x14ac:dyDescent="0.25">
      <c r="A1298" t="s">
        <v>251</v>
      </c>
      <c r="B1298" t="s">
        <v>252</v>
      </c>
      <c r="C1298" s="1">
        <v>41275</v>
      </c>
      <c r="D1298" s="1">
        <v>41639</v>
      </c>
      <c r="E1298" t="s">
        <v>253</v>
      </c>
      <c r="G1298" t="s">
        <v>254</v>
      </c>
      <c r="H1298" t="s">
        <v>21</v>
      </c>
      <c r="I1298" t="str">
        <f>"46540"</f>
        <v>46540</v>
      </c>
      <c r="J1298" t="s">
        <v>22</v>
      </c>
      <c r="K1298" t="s">
        <v>30</v>
      </c>
      <c r="L1298" s="2">
        <v>3675223</v>
      </c>
      <c r="M1298" s="2">
        <v>579785</v>
      </c>
      <c r="N1298" s="2">
        <v>0</v>
      </c>
      <c r="O1298" s="2">
        <v>193140</v>
      </c>
      <c r="P1298" t="s">
        <v>24</v>
      </c>
      <c r="Q1298" t="s">
        <v>24</v>
      </c>
    </row>
    <row r="1299" spans="1:17" x14ac:dyDescent="0.25">
      <c r="A1299" t="s">
        <v>2937</v>
      </c>
      <c r="B1299" t="s">
        <v>2938</v>
      </c>
      <c r="C1299" s="1">
        <v>41275</v>
      </c>
      <c r="D1299" s="1">
        <v>41639</v>
      </c>
      <c r="E1299" t="s">
        <v>2939</v>
      </c>
      <c r="G1299" t="s">
        <v>2940</v>
      </c>
      <c r="H1299" t="s">
        <v>47</v>
      </c>
      <c r="I1299" t="str">
        <f>"49734"</f>
        <v>49734</v>
      </c>
      <c r="J1299" t="s">
        <v>63</v>
      </c>
      <c r="K1299" t="s">
        <v>64</v>
      </c>
      <c r="L1299" s="2">
        <v>3673094</v>
      </c>
      <c r="M1299" s="2">
        <v>223073</v>
      </c>
      <c r="N1299" s="2">
        <v>816515</v>
      </c>
      <c r="O1299" s="2">
        <v>235528</v>
      </c>
      <c r="P1299" s="2">
        <v>44821</v>
      </c>
      <c r="Q1299" s="2">
        <v>25951</v>
      </c>
    </row>
    <row r="1300" spans="1:17" x14ac:dyDescent="0.25">
      <c r="A1300" t="s">
        <v>5028</v>
      </c>
      <c r="B1300" t="s">
        <v>5029</v>
      </c>
      <c r="C1300" s="1">
        <v>41275</v>
      </c>
      <c r="D1300" s="1">
        <v>41639</v>
      </c>
      <c r="E1300" t="s">
        <v>104</v>
      </c>
      <c r="G1300" t="s">
        <v>28</v>
      </c>
      <c r="H1300" t="s">
        <v>29</v>
      </c>
      <c r="I1300" t="str">
        <f>"60680"</f>
        <v>60680</v>
      </c>
      <c r="J1300" t="s">
        <v>22</v>
      </c>
      <c r="K1300" t="s">
        <v>30</v>
      </c>
      <c r="L1300" s="2">
        <v>3668453</v>
      </c>
      <c r="M1300" s="2">
        <v>470255</v>
      </c>
      <c r="N1300" s="2">
        <v>0</v>
      </c>
      <c r="O1300" s="2">
        <v>202970</v>
      </c>
      <c r="P1300" t="s">
        <v>24</v>
      </c>
      <c r="Q1300" t="s">
        <v>24</v>
      </c>
    </row>
    <row r="1301" spans="1:17" x14ac:dyDescent="0.25">
      <c r="A1301" t="s">
        <v>1007</v>
      </c>
      <c r="B1301" t="s">
        <v>1008</v>
      </c>
      <c r="C1301" s="1">
        <v>41275</v>
      </c>
      <c r="D1301" s="1">
        <v>41639</v>
      </c>
      <c r="E1301" t="s">
        <v>1009</v>
      </c>
      <c r="G1301" t="s">
        <v>1010</v>
      </c>
      <c r="H1301" t="s">
        <v>47</v>
      </c>
      <c r="I1301" t="str">
        <f>"49685"</f>
        <v>49685</v>
      </c>
      <c r="J1301" t="s">
        <v>22</v>
      </c>
      <c r="K1301" t="s">
        <v>30</v>
      </c>
      <c r="L1301" s="2">
        <v>3664642</v>
      </c>
      <c r="M1301" s="2">
        <v>493887</v>
      </c>
      <c r="N1301" s="2">
        <v>0</v>
      </c>
      <c r="O1301" s="2">
        <v>191092</v>
      </c>
      <c r="P1301" t="s">
        <v>24</v>
      </c>
      <c r="Q1301" t="s">
        <v>24</v>
      </c>
    </row>
    <row r="1302" spans="1:17" x14ac:dyDescent="0.25">
      <c r="A1302" t="s">
        <v>2432</v>
      </c>
      <c r="B1302" t="s">
        <v>2433</v>
      </c>
      <c r="C1302" s="1">
        <v>41275</v>
      </c>
      <c r="D1302" s="1">
        <v>41639</v>
      </c>
      <c r="E1302" t="s">
        <v>2387</v>
      </c>
      <c r="G1302" t="s">
        <v>353</v>
      </c>
      <c r="H1302" t="s">
        <v>62</v>
      </c>
      <c r="I1302" t="str">
        <f>"43216"</f>
        <v>43216</v>
      </c>
      <c r="J1302" t="s">
        <v>22</v>
      </c>
      <c r="K1302" t="s">
        <v>23</v>
      </c>
      <c r="L1302" s="2">
        <v>3663501</v>
      </c>
      <c r="M1302" s="2">
        <v>2041397</v>
      </c>
      <c r="N1302" s="2">
        <v>0</v>
      </c>
      <c r="O1302" s="2">
        <v>255210</v>
      </c>
      <c r="P1302" t="s">
        <v>24</v>
      </c>
      <c r="Q1302" t="s">
        <v>24</v>
      </c>
    </row>
    <row r="1303" spans="1:17" x14ac:dyDescent="0.25">
      <c r="A1303" t="s">
        <v>2417</v>
      </c>
      <c r="B1303" t="s">
        <v>2418</v>
      </c>
      <c r="C1303" s="1">
        <v>41275</v>
      </c>
      <c r="D1303" s="1">
        <v>41639</v>
      </c>
      <c r="E1303" t="s">
        <v>2419</v>
      </c>
      <c r="G1303" t="s">
        <v>2420</v>
      </c>
      <c r="H1303" t="s">
        <v>21</v>
      </c>
      <c r="I1303" t="str">
        <f>"46077"</f>
        <v>46077</v>
      </c>
      <c r="J1303" t="s">
        <v>22</v>
      </c>
      <c r="K1303" t="s">
        <v>30</v>
      </c>
      <c r="L1303" s="2">
        <v>3662847</v>
      </c>
      <c r="M1303" s="2">
        <v>93116</v>
      </c>
      <c r="N1303" s="2">
        <v>3000</v>
      </c>
      <c r="O1303" s="2">
        <v>204099</v>
      </c>
      <c r="P1303" t="s">
        <v>24</v>
      </c>
      <c r="Q1303" t="s">
        <v>24</v>
      </c>
    </row>
    <row r="1304" spans="1:17" x14ac:dyDescent="0.25">
      <c r="A1304" t="s">
        <v>3216</v>
      </c>
      <c r="B1304" t="s">
        <v>3217</v>
      </c>
      <c r="C1304" s="1">
        <v>41275</v>
      </c>
      <c r="D1304" s="1">
        <v>41639</v>
      </c>
      <c r="E1304" t="s">
        <v>1496</v>
      </c>
      <c r="G1304" t="s">
        <v>167</v>
      </c>
      <c r="H1304" t="s">
        <v>62</v>
      </c>
      <c r="I1304" t="str">
        <f>"45263"</f>
        <v>45263</v>
      </c>
      <c r="J1304" t="s">
        <v>22</v>
      </c>
      <c r="K1304" t="s">
        <v>30</v>
      </c>
      <c r="L1304" s="2">
        <v>3656604</v>
      </c>
      <c r="M1304" s="2">
        <v>488488</v>
      </c>
      <c r="N1304" s="2">
        <v>0</v>
      </c>
      <c r="O1304" s="2">
        <v>193174</v>
      </c>
      <c r="P1304" t="s">
        <v>24</v>
      </c>
      <c r="Q1304" t="s">
        <v>24</v>
      </c>
    </row>
    <row r="1305" spans="1:17" x14ac:dyDescent="0.25">
      <c r="A1305" t="s">
        <v>2702</v>
      </c>
      <c r="B1305" t="s">
        <v>2703</v>
      </c>
      <c r="C1305" s="1">
        <v>41275</v>
      </c>
      <c r="D1305" s="1">
        <v>41639</v>
      </c>
      <c r="E1305" t="s">
        <v>104</v>
      </c>
      <c r="G1305" t="s">
        <v>28</v>
      </c>
      <c r="H1305" t="s">
        <v>29</v>
      </c>
      <c r="I1305" t="str">
        <f>"60680"</f>
        <v>60680</v>
      </c>
      <c r="J1305" t="s">
        <v>63</v>
      </c>
      <c r="K1305" t="s">
        <v>23</v>
      </c>
      <c r="L1305" s="2">
        <v>3648942</v>
      </c>
      <c r="M1305" s="2">
        <v>590433</v>
      </c>
      <c r="N1305" s="2">
        <v>0</v>
      </c>
      <c r="O1305" s="2">
        <v>193336</v>
      </c>
      <c r="P1305" s="2">
        <v>38562</v>
      </c>
      <c r="Q1305" t="s">
        <v>24</v>
      </c>
    </row>
    <row r="1306" spans="1:17" x14ac:dyDescent="0.25">
      <c r="A1306" t="s">
        <v>6775</v>
      </c>
      <c r="B1306" t="s">
        <v>6776</v>
      </c>
      <c r="C1306" s="1">
        <v>41061</v>
      </c>
      <c r="D1306" s="1">
        <v>41425</v>
      </c>
      <c r="E1306" t="s">
        <v>6777</v>
      </c>
      <c r="G1306" t="s">
        <v>28</v>
      </c>
      <c r="H1306" t="s">
        <v>29</v>
      </c>
      <c r="I1306" t="str">
        <f>"60618"</f>
        <v>60618</v>
      </c>
      <c r="J1306" t="s">
        <v>22</v>
      </c>
      <c r="K1306" t="s">
        <v>23</v>
      </c>
      <c r="L1306" s="2">
        <v>3648373</v>
      </c>
      <c r="M1306" s="2">
        <v>4622469</v>
      </c>
      <c r="N1306" s="2">
        <v>0</v>
      </c>
      <c r="O1306" s="2">
        <v>200397</v>
      </c>
      <c r="P1306" t="s">
        <v>24</v>
      </c>
      <c r="Q1306" t="s">
        <v>24</v>
      </c>
    </row>
    <row r="1307" spans="1:17" x14ac:dyDescent="0.25">
      <c r="A1307" t="s">
        <v>1146</v>
      </c>
      <c r="B1307" t="s">
        <v>1147</v>
      </c>
      <c r="C1307" s="1">
        <v>41275</v>
      </c>
      <c r="D1307" s="1">
        <v>41639</v>
      </c>
      <c r="E1307" t="s">
        <v>1148</v>
      </c>
      <c r="G1307" t="s">
        <v>1149</v>
      </c>
      <c r="H1307" t="s">
        <v>62</v>
      </c>
      <c r="I1307" t="str">
        <f>"44221"</f>
        <v>44221</v>
      </c>
      <c r="J1307" t="s">
        <v>22</v>
      </c>
      <c r="K1307" t="s">
        <v>30</v>
      </c>
      <c r="L1307" s="2">
        <v>3644460</v>
      </c>
      <c r="M1307" s="2">
        <v>428974</v>
      </c>
      <c r="N1307" s="2">
        <v>0</v>
      </c>
      <c r="O1307" s="2">
        <v>230396</v>
      </c>
      <c r="P1307" t="s">
        <v>24</v>
      </c>
      <c r="Q1307" t="s">
        <v>24</v>
      </c>
    </row>
    <row r="1308" spans="1:17" x14ac:dyDescent="0.25">
      <c r="A1308" t="s">
        <v>2683</v>
      </c>
      <c r="B1308" t="s">
        <v>2684</v>
      </c>
      <c r="C1308" s="1">
        <v>41426</v>
      </c>
      <c r="D1308" s="1">
        <v>41790</v>
      </c>
      <c r="E1308" t="s">
        <v>104</v>
      </c>
      <c r="G1308" t="s">
        <v>28</v>
      </c>
      <c r="H1308" t="s">
        <v>29</v>
      </c>
      <c r="I1308" t="str">
        <f>"60680"</f>
        <v>60680</v>
      </c>
      <c r="J1308" t="s">
        <v>22</v>
      </c>
      <c r="K1308" t="s">
        <v>23</v>
      </c>
      <c r="L1308" s="2">
        <v>3638002</v>
      </c>
      <c r="M1308" s="2">
        <v>1035878</v>
      </c>
      <c r="N1308" s="2">
        <v>0</v>
      </c>
      <c r="O1308" s="2">
        <v>188623</v>
      </c>
      <c r="P1308" t="s">
        <v>24</v>
      </c>
      <c r="Q1308" t="s">
        <v>24</v>
      </c>
    </row>
    <row r="1309" spans="1:17" x14ac:dyDescent="0.25">
      <c r="A1309" t="s">
        <v>6145</v>
      </c>
      <c r="B1309" t="s">
        <v>6146</v>
      </c>
      <c r="C1309" s="1">
        <v>41275</v>
      </c>
      <c r="D1309" s="1">
        <v>41639</v>
      </c>
      <c r="E1309" t="s">
        <v>6147</v>
      </c>
      <c r="G1309" t="s">
        <v>20</v>
      </c>
      <c r="H1309" t="s">
        <v>21</v>
      </c>
      <c r="I1309" t="str">
        <f>"46204"</f>
        <v>46204</v>
      </c>
      <c r="J1309" t="s">
        <v>22</v>
      </c>
      <c r="K1309" t="s">
        <v>23</v>
      </c>
      <c r="L1309" s="2">
        <v>3636188</v>
      </c>
      <c r="M1309" s="2">
        <v>476866</v>
      </c>
      <c r="N1309" s="2">
        <v>7410</v>
      </c>
      <c r="O1309" s="2">
        <v>222891</v>
      </c>
      <c r="P1309" t="s">
        <v>24</v>
      </c>
      <c r="Q1309" t="s">
        <v>24</v>
      </c>
    </row>
    <row r="1310" spans="1:17" x14ac:dyDescent="0.25">
      <c r="A1310" t="s">
        <v>1634</v>
      </c>
      <c r="B1310" t="s">
        <v>1635</v>
      </c>
      <c r="C1310" s="1">
        <v>40909</v>
      </c>
      <c r="D1310" s="1">
        <v>41274</v>
      </c>
      <c r="E1310" t="s">
        <v>1636</v>
      </c>
      <c r="G1310" t="s">
        <v>28</v>
      </c>
      <c r="H1310" t="s">
        <v>29</v>
      </c>
      <c r="I1310" t="str">
        <f>"60603"</f>
        <v>60603</v>
      </c>
      <c r="J1310" t="s">
        <v>22</v>
      </c>
      <c r="K1310" t="s">
        <v>30</v>
      </c>
      <c r="L1310" s="2">
        <v>3622911</v>
      </c>
      <c r="M1310" s="2">
        <v>2264157</v>
      </c>
      <c r="N1310" s="2">
        <v>0</v>
      </c>
      <c r="O1310" s="2">
        <v>231174</v>
      </c>
      <c r="P1310" t="s">
        <v>24</v>
      </c>
      <c r="Q1310" t="s">
        <v>24</v>
      </c>
    </row>
    <row r="1311" spans="1:17" x14ac:dyDescent="0.25">
      <c r="A1311" t="s">
        <v>3855</v>
      </c>
      <c r="B1311" t="s">
        <v>3856</v>
      </c>
      <c r="C1311" s="1">
        <v>40909</v>
      </c>
      <c r="D1311" s="1">
        <v>41274</v>
      </c>
      <c r="E1311" t="s">
        <v>3857</v>
      </c>
      <c r="G1311" t="s">
        <v>139</v>
      </c>
      <c r="H1311" t="s">
        <v>47</v>
      </c>
      <c r="I1311" t="str">
        <f>"49506"</f>
        <v>49506</v>
      </c>
      <c r="J1311" t="s">
        <v>22</v>
      </c>
      <c r="K1311" t="s">
        <v>23</v>
      </c>
      <c r="L1311" s="2">
        <v>3607341</v>
      </c>
      <c r="M1311" s="2">
        <v>3358117</v>
      </c>
      <c r="N1311" s="2">
        <v>0</v>
      </c>
      <c r="O1311" s="2">
        <v>122203</v>
      </c>
      <c r="P1311" t="s">
        <v>24</v>
      </c>
      <c r="Q1311" t="s">
        <v>24</v>
      </c>
    </row>
    <row r="1312" spans="1:17" x14ac:dyDescent="0.25">
      <c r="A1312" t="s">
        <v>2497</v>
      </c>
      <c r="B1312" t="s">
        <v>2498</v>
      </c>
      <c r="C1312" s="1">
        <v>41275</v>
      </c>
      <c r="D1312" s="1">
        <v>41639</v>
      </c>
      <c r="E1312" t="s">
        <v>2499</v>
      </c>
      <c r="G1312" t="s">
        <v>1765</v>
      </c>
      <c r="H1312" t="s">
        <v>78</v>
      </c>
      <c r="I1312" t="str">
        <f>"41011"</f>
        <v>41011</v>
      </c>
      <c r="J1312" t="s">
        <v>22</v>
      </c>
      <c r="K1312" t="s">
        <v>23</v>
      </c>
      <c r="L1312" s="2">
        <v>3599641</v>
      </c>
      <c r="M1312" s="2">
        <v>1271096</v>
      </c>
      <c r="N1312" s="2">
        <v>0</v>
      </c>
      <c r="O1312" s="2">
        <v>100213</v>
      </c>
      <c r="P1312" t="s">
        <v>24</v>
      </c>
      <c r="Q1312" t="s">
        <v>24</v>
      </c>
    </row>
    <row r="1313" spans="1:17" x14ac:dyDescent="0.25">
      <c r="A1313" t="s">
        <v>7549</v>
      </c>
      <c r="B1313" t="s">
        <v>7550</v>
      </c>
      <c r="C1313" s="1">
        <v>41456</v>
      </c>
      <c r="D1313" s="1">
        <v>41820</v>
      </c>
      <c r="E1313" t="s">
        <v>104</v>
      </c>
      <c r="G1313" t="s">
        <v>28</v>
      </c>
      <c r="H1313" t="s">
        <v>29</v>
      </c>
      <c r="I1313" t="str">
        <f>"60680"</f>
        <v>60680</v>
      </c>
      <c r="J1313" t="s">
        <v>22</v>
      </c>
      <c r="K1313" t="s">
        <v>23</v>
      </c>
      <c r="L1313" s="2">
        <v>3598335</v>
      </c>
      <c r="M1313" s="2">
        <v>1342388</v>
      </c>
      <c r="N1313" s="2">
        <v>0</v>
      </c>
      <c r="O1313" s="2">
        <v>192456</v>
      </c>
      <c r="P1313" t="s">
        <v>24</v>
      </c>
      <c r="Q1313" t="s">
        <v>24</v>
      </c>
    </row>
    <row r="1314" spans="1:17" x14ac:dyDescent="0.25">
      <c r="A1314" t="s">
        <v>2122</v>
      </c>
      <c r="B1314" t="s">
        <v>2123</v>
      </c>
      <c r="C1314" s="1">
        <v>41275</v>
      </c>
      <c r="D1314" s="1">
        <v>41639</v>
      </c>
      <c r="E1314" t="s">
        <v>2124</v>
      </c>
      <c r="G1314" t="s">
        <v>2125</v>
      </c>
      <c r="H1314" t="s">
        <v>42</v>
      </c>
      <c r="I1314" t="str">
        <f>"53913"</f>
        <v>53913</v>
      </c>
      <c r="J1314" t="s">
        <v>63</v>
      </c>
      <c r="K1314" t="s">
        <v>64</v>
      </c>
      <c r="L1314" s="2">
        <v>3593793</v>
      </c>
      <c r="M1314" s="2">
        <v>872465</v>
      </c>
      <c r="N1314" s="2">
        <v>2258</v>
      </c>
      <c r="O1314" s="2">
        <v>246781</v>
      </c>
      <c r="P1314" s="2">
        <v>82592</v>
      </c>
      <c r="Q1314" s="2">
        <v>0</v>
      </c>
    </row>
    <row r="1315" spans="1:17" x14ac:dyDescent="0.25">
      <c r="A1315" t="s">
        <v>5644</v>
      </c>
      <c r="B1315" t="s">
        <v>5645</v>
      </c>
      <c r="C1315" s="1">
        <v>41306</v>
      </c>
      <c r="D1315" s="1">
        <v>41670</v>
      </c>
      <c r="E1315" t="s">
        <v>104</v>
      </c>
      <c r="G1315" t="s">
        <v>28</v>
      </c>
      <c r="H1315" t="s">
        <v>29</v>
      </c>
      <c r="I1315" t="str">
        <f>"60680"</f>
        <v>60680</v>
      </c>
      <c r="J1315" t="s">
        <v>22</v>
      </c>
      <c r="K1315" t="s">
        <v>23</v>
      </c>
      <c r="L1315" s="2">
        <v>3592781</v>
      </c>
      <c r="M1315" s="2">
        <v>662916</v>
      </c>
      <c r="N1315" s="2">
        <v>0</v>
      </c>
      <c r="O1315" s="2">
        <v>206152</v>
      </c>
      <c r="P1315" t="s">
        <v>24</v>
      </c>
      <c r="Q1315" t="s">
        <v>24</v>
      </c>
    </row>
    <row r="1316" spans="1:17" x14ac:dyDescent="0.25">
      <c r="A1316" t="s">
        <v>3727</v>
      </c>
      <c r="B1316" t="s">
        <v>3728</v>
      </c>
      <c r="C1316" s="1">
        <v>41275</v>
      </c>
      <c r="D1316" s="1">
        <v>41639</v>
      </c>
      <c r="E1316" t="s">
        <v>2233</v>
      </c>
      <c r="G1316" t="s">
        <v>2976</v>
      </c>
      <c r="H1316" t="s">
        <v>42</v>
      </c>
      <c r="I1316" t="str">
        <f>"54615"</f>
        <v>54615</v>
      </c>
      <c r="J1316" t="s">
        <v>22</v>
      </c>
      <c r="K1316" t="s">
        <v>30</v>
      </c>
      <c r="L1316" s="2">
        <v>3591860</v>
      </c>
      <c r="M1316" s="2">
        <v>1224778</v>
      </c>
      <c r="N1316" s="2">
        <v>0</v>
      </c>
      <c r="O1316" s="2">
        <v>11008</v>
      </c>
      <c r="P1316" t="s">
        <v>24</v>
      </c>
      <c r="Q1316" t="s">
        <v>24</v>
      </c>
    </row>
    <row r="1317" spans="1:17" x14ac:dyDescent="0.25">
      <c r="A1317" t="s">
        <v>2724</v>
      </c>
      <c r="B1317" t="s">
        <v>2725</v>
      </c>
      <c r="C1317" s="1">
        <v>41275</v>
      </c>
      <c r="D1317" s="1">
        <v>41639</v>
      </c>
      <c r="E1317" t="s">
        <v>2726</v>
      </c>
      <c r="G1317" t="s">
        <v>20</v>
      </c>
      <c r="H1317" t="s">
        <v>21</v>
      </c>
      <c r="I1317" t="str">
        <f>"46268"</f>
        <v>46268</v>
      </c>
      <c r="J1317" t="s">
        <v>22</v>
      </c>
      <c r="K1317" t="s">
        <v>23</v>
      </c>
      <c r="L1317" s="2">
        <v>3588851</v>
      </c>
      <c r="M1317" s="2">
        <v>60052</v>
      </c>
      <c r="N1317" s="2">
        <v>0</v>
      </c>
      <c r="O1317" s="2">
        <v>220331</v>
      </c>
      <c r="P1317" t="s">
        <v>24</v>
      </c>
      <c r="Q1317" t="s">
        <v>24</v>
      </c>
    </row>
    <row r="1318" spans="1:17" x14ac:dyDescent="0.25">
      <c r="A1318" t="s">
        <v>4325</v>
      </c>
      <c r="B1318" t="s">
        <v>4326</v>
      </c>
      <c r="C1318" s="1">
        <v>41275</v>
      </c>
      <c r="D1318" s="1">
        <v>41639</v>
      </c>
      <c r="E1318" t="s">
        <v>4327</v>
      </c>
      <c r="G1318" t="s">
        <v>307</v>
      </c>
      <c r="H1318" t="s">
        <v>29</v>
      </c>
      <c r="I1318" t="str">
        <f>"60093"</f>
        <v>60093</v>
      </c>
      <c r="J1318" t="s">
        <v>22</v>
      </c>
      <c r="K1318" t="s">
        <v>30</v>
      </c>
      <c r="L1318" s="2">
        <v>3587751</v>
      </c>
      <c r="M1318" s="2">
        <v>714831</v>
      </c>
      <c r="N1318" s="2">
        <v>0</v>
      </c>
      <c r="O1318" s="2">
        <v>158510</v>
      </c>
      <c r="P1318" t="s">
        <v>24</v>
      </c>
      <c r="Q1318" t="s">
        <v>24</v>
      </c>
    </row>
    <row r="1319" spans="1:17" x14ac:dyDescent="0.25">
      <c r="A1319" t="s">
        <v>1438</v>
      </c>
      <c r="B1319" t="s">
        <v>1439</v>
      </c>
      <c r="C1319" s="1">
        <v>41275</v>
      </c>
      <c r="D1319" s="1">
        <v>41639</v>
      </c>
      <c r="E1319" t="s">
        <v>489</v>
      </c>
      <c r="G1319" t="s">
        <v>337</v>
      </c>
      <c r="H1319" t="s">
        <v>62</v>
      </c>
      <c r="I1319" t="str">
        <f>"44101"</f>
        <v>44101</v>
      </c>
      <c r="J1319" t="s">
        <v>22</v>
      </c>
      <c r="K1319" t="s">
        <v>23</v>
      </c>
      <c r="L1319" s="2">
        <v>3586315</v>
      </c>
      <c r="M1319" s="2">
        <v>1746032</v>
      </c>
      <c r="N1319" s="2">
        <v>0</v>
      </c>
      <c r="O1319" s="2">
        <v>195245</v>
      </c>
      <c r="P1319" t="s">
        <v>24</v>
      </c>
      <c r="Q1319" t="s">
        <v>24</v>
      </c>
    </row>
    <row r="1320" spans="1:17" x14ac:dyDescent="0.25">
      <c r="A1320" t="s">
        <v>4608</v>
      </c>
      <c r="B1320" t="s">
        <v>4609</v>
      </c>
      <c r="C1320" s="1">
        <v>41275</v>
      </c>
      <c r="D1320" s="1">
        <v>41639</v>
      </c>
      <c r="E1320" t="s">
        <v>2499</v>
      </c>
      <c r="G1320" t="s">
        <v>1765</v>
      </c>
      <c r="H1320" t="s">
        <v>78</v>
      </c>
      <c r="I1320" t="str">
        <f>"41011"</f>
        <v>41011</v>
      </c>
      <c r="J1320" t="s">
        <v>22</v>
      </c>
      <c r="K1320" t="s">
        <v>30</v>
      </c>
      <c r="L1320" s="2">
        <v>3580779</v>
      </c>
      <c r="M1320" s="2">
        <v>1198344</v>
      </c>
      <c r="N1320" s="2">
        <v>0</v>
      </c>
      <c r="O1320" s="2">
        <v>131871</v>
      </c>
      <c r="P1320" t="s">
        <v>24</v>
      </c>
      <c r="Q1320" t="s">
        <v>24</v>
      </c>
    </row>
    <row r="1321" spans="1:17" x14ac:dyDescent="0.25">
      <c r="A1321" t="s">
        <v>3167</v>
      </c>
      <c r="B1321" t="s">
        <v>3168</v>
      </c>
      <c r="E1321" t="s">
        <v>3169</v>
      </c>
      <c r="G1321" t="s">
        <v>1853</v>
      </c>
      <c r="H1321" t="s">
        <v>29</v>
      </c>
      <c r="I1321" t="str">
        <f>"62305"</f>
        <v>62305</v>
      </c>
      <c r="J1321" t="s">
        <v>22</v>
      </c>
      <c r="K1321" t="s">
        <v>30</v>
      </c>
      <c r="L1321" s="2">
        <v>3575150</v>
      </c>
      <c r="M1321" s="2">
        <v>339950</v>
      </c>
      <c r="N1321" s="2">
        <v>0</v>
      </c>
      <c r="O1321" t="s">
        <v>24</v>
      </c>
      <c r="P1321" t="s">
        <v>24</v>
      </c>
      <c r="Q1321" t="s">
        <v>24</v>
      </c>
    </row>
    <row r="1322" spans="1:17" x14ac:dyDescent="0.25">
      <c r="A1322" t="s">
        <v>1426</v>
      </c>
      <c r="B1322" t="s">
        <v>1427</v>
      </c>
      <c r="C1322" s="1">
        <v>41091</v>
      </c>
      <c r="D1322" s="1">
        <v>41455</v>
      </c>
      <c r="E1322" t="s">
        <v>1428</v>
      </c>
      <c r="G1322" t="s">
        <v>829</v>
      </c>
      <c r="H1322" t="s">
        <v>62</v>
      </c>
      <c r="I1322" t="str">
        <f>"43604"</f>
        <v>43604</v>
      </c>
      <c r="J1322" t="s">
        <v>63</v>
      </c>
      <c r="K1322" t="s">
        <v>79</v>
      </c>
      <c r="L1322" s="2">
        <v>3567851</v>
      </c>
      <c r="M1322" s="2">
        <v>188599</v>
      </c>
      <c r="N1322" s="2">
        <v>8864</v>
      </c>
      <c r="O1322" s="2">
        <v>210326</v>
      </c>
      <c r="P1322" s="2">
        <v>36490</v>
      </c>
      <c r="Q1322" s="2">
        <v>0</v>
      </c>
    </row>
    <row r="1323" spans="1:17" x14ac:dyDescent="0.25">
      <c r="A1323" t="s">
        <v>826</v>
      </c>
      <c r="B1323" t="s">
        <v>827</v>
      </c>
      <c r="C1323" s="1">
        <v>41275</v>
      </c>
      <c r="D1323" s="1">
        <v>41639</v>
      </c>
      <c r="E1323" t="s">
        <v>828</v>
      </c>
      <c r="G1323" t="s">
        <v>829</v>
      </c>
      <c r="H1323" t="s">
        <v>62</v>
      </c>
      <c r="I1323" t="str">
        <f>"43604"</f>
        <v>43604</v>
      </c>
      <c r="J1323" t="s">
        <v>22</v>
      </c>
      <c r="K1323" t="s">
        <v>30</v>
      </c>
      <c r="L1323" s="2">
        <v>3562559</v>
      </c>
      <c r="M1323" s="2">
        <v>539792</v>
      </c>
      <c r="N1323" s="2">
        <v>0</v>
      </c>
      <c r="O1323" s="2">
        <v>169446</v>
      </c>
      <c r="P1323" t="s">
        <v>24</v>
      </c>
      <c r="Q1323" t="s">
        <v>24</v>
      </c>
    </row>
    <row r="1324" spans="1:17" x14ac:dyDescent="0.25">
      <c r="A1324" t="s">
        <v>3109</v>
      </c>
      <c r="B1324" t="s">
        <v>3110</v>
      </c>
      <c r="C1324" s="1">
        <v>41244</v>
      </c>
      <c r="D1324" s="1">
        <v>41608</v>
      </c>
      <c r="E1324" t="s">
        <v>1768</v>
      </c>
      <c r="G1324" t="s">
        <v>28</v>
      </c>
      <c r="H1324" t="s">
        <v>29</v>
      </c>
      <c r="I1324" t="str">
        <f>"60603"</f>
        <v>60603</v>
      </c>
      <c r="J1324" t="s">
        <v>22</v>
      </c>
      <c r="K1324" t="s">
        <v>23</v>
      </c>
      <c r="L1324" s="2">
        <v>3562184</v>
      </c>
      <c r="M1324" s="2">
        <v>245560</v>
      </c>
      <c r="N1324" s="2">
        <v>0</v>
      </c>
      <c r="O1324" s="2">
        <v>127526</v>
      </c>
      <c r="P1324" t="s">
        <v>24</v>
      </c>
      <c r="Q1324" t="s">
        <v>24</v>
      </c>
    </row>
    <row r="1325" spans="1:17" x14ac:dyDescent="0.25">
      <c r="A1325" t="s">
        <v>2279</v>
      </c>
      <c r="B1325" t="s">
        <v>2280</v>
      </c>
      <c r="C1325" s="1">
        <v>41275</v>
      </c>
      <c r="D1325" s="1">
        <v>41639</v>
      </c>
      <c r="E1325" t="s">
        <v>2281</v>
      </c>
      <c r="G1325" t="s">
        <v>974</v>
      </c>
      <c r="H1325" t="s">
        <v>21</v>
      </c>
      <c r="I1325" t="str">
        <f>"47808"</f>
        <v>47808</v>
      </c>
      <c r="J1325" t="s">
        <v>22</v>
      </c>
      <c r="K1325" t="s">
        <v>23</v>
      </c>
      <c r="L1325" s="2">
        <v>3557031</v>
      </c>
      <c r="M1325" s="2">
        <v>454969</v>
      </c>
      <c r="N1325" s="2">
        <v>0</v>
      </c>
      <c r="O1325" s="2">
        <v>181487</v>
      </c>
      <c r="P1325" t="s">
        <v>24</v>
      </c>
      <c r="Q1325" t="s">
        <v>24</v>
      </c>
    </row>
    <row r="1326" spans="1:17" x14ac:dyDescent="0.25">
      <c r="A1326" t="s">
        <v>2739</v>
      </c>
      <c r="B1326" t="s">
        <v>2740</v>
      </c>
      <c r="C1326" s="1">
        <v>41275</v>
      </c>
      <c r="D1326" s="1">
        <v>41639</v>
      </c>
      <c r="E1326" t="s">
        <v>50</v>
      </c>
      <c r="G1326" t="s">
        <v>28</v>
      </c>
      <c r="H1326" t="s">
        <v>29</v>
      </c>
      <c r="I1326" t="str">
        <f>"60603"</f>
        <v>60603</v>
      </c>
      <c r="J1326" t="s">
        <v>22</v>
      </c>
      <c r="K1326" t="s">
        <v>91</v>
      </c>
      <c r="L1326" s="2">
        <v>3555730</v>
      </c>
      <c r="M1326" s="2">
        <v>1196446</v>
      </c>
      <c r="N1326" s="2">
        <v>0</v>
      </c>
      <c r="O1326" s="2">
        <v>155404</v>
      </c>
      <c r="P1326" t="s">
        <v>24</v>
      </c>
      <c r="Q1326" t="s">
        <v>24</v>
      </c>
    </row>
    <row r="1327" spans="1:17" x14ac:dyDescent="0.25">
      <c r="A1327" t="s">
        <v>5874</v>
      </c>
      <c r="B1327" t="s">
        <v>5875</v>
      </c>
      <c r="C1327" s="1">
        <v>41395</v>
      </c>
      <c r="D1327" s="1">
        <v>41759</v>
      </c>
      <c r="E1327" t="s">
        <v>5876</v>
      </c>
      <c r="G1327" t="s">
        <v>5877</v>
      </c>
      <c r="H1327" t="s">
        <v>29</v>
      </c>
      <c r="I1327" t="str">
        <f>"61739"</f>
        <v>61739</v>
      </c>
      <c r="J1327" t="s">
        <v>63</v>
      </c>
      <c r="K1327" t="s">
        <v>79</v>
      </c>
      <c r="L1327" s="2">
        <v>3553788</v>
      </c>
      <c r="M1327" s="2">
        <v>112234</v>
      </c>
      <c r="N1327" s="2">
        <v>0</v>
      </c>
      <c r="O1327" s="2">
        <v>69343</v>
      </c>
      <c r="P1327" s="2">
        <v>7560</v>
      </c>
      <c r="Q1327" s="2">
        <v>0</v>
      </c>
    </row>
    <row r="1328" spans="1:17" x14ac:dyDescent="0.25">
      <c r="A1328" t="s">
        <v>7744</v>
      </c>
      <c r="B1328" t="s">
        <v>7745</v>
      </c>
      <c r="C1328" s="1">
        <v>40544</v>
      </c>
      <c r="D1328" s="1">
        <v>40908</v>
      </c>
      <c r="E1328" t="s">
        <v>489</v>
      </c>
      <c r="G1328" t="s">
        <v>337</v>
      </c>
      <c r="H1328" t="s">
        <v>62</v>
      </c>
      <c r="I1328" t="str">
        <f>"44101"</f>
        <v>44101</v>
      </c>
      <c r="J1328" t="s">
        <v>22</v>
      </c>
      <c r="K1328" t="s">
        <v>30</v>
      </c>
      <c r="L1328" s="2">
        <v>3539999</v>
      </c>
      <c r="M1328" s="2">
        <v>2154302</v>
      </c>
      <c r="N1328" s="2">
        <v>0</v>
      </c>
      <c r="O1328" s="2">
        <v>274546</v>
      </c>
      <c r="P1328" t="s">
        <v>24</v>
      </c>
      <c r="Q1328" t="s">
        <v>24</v>
      </c>
    </row>
    <row r="1329" spans="1:17" x14ac:dyDescent="0.25">
      <c r="A1329" t="s">
        <v>7667</v>
      </c>
      <c r="B1329" t="s">
        <v>7668</v>
      </c>
      <c r="C1329" s="1">
        <v>41275</v>
      </c>
      <c r="D1329" s="1">
        <v>41639</v>
      </c>
      <c r="E1329" t="s">
        <v>7669</v>
      </c>
      <c r="G1329" t="s">
        <v>337</v>
      </c>
      <c r="H1329" t="s">
        <v>62</v>
      </c>
      <c r="I1329" t="str">
        <f>"44131"</f>
        <v>44131</v>
      </c>
      <c r="J1329" t="s">
        <v>22</v>
      </c>
      <c r="K1329" t="s">
        <v>23</v>
      </c>
      <c r="L1329" s="2">
        <v>3537447</v>
      </c>
      <c r="M1329" s="2">
        <v>1447429</v>
      </c>
      <c r="N1329" s="2">
        <v>0</v>
      </c>
      <c r="O1329" s="2">
        <v>147373</v>
      </c>
      <c r="P1329" t="s">
        <v>24</v>
      </c>
      <c r="Q1329" t="s">
        <v>24</v>
      </c>
    </row>
    <row r="1330" spans="1:17" x14ac:dyDescent="0.25">
      <c r="A1330" t="s">
        <v>7731</v>
      </c>
      <c r="B1330" t="s">
        <v>7732</v>
      </c>
      <c r="C1330" s="1">
        <v>41275</v>
      </c>
      <c r="D1330" s="1">
        <v>41639</v>
      </c>
      <c r="E1330" t="s">
        <v>7733</v>
      </c>
      <c r="G1330" t="s">
        <v>1189</v>
      </c>
      <c r="H1330" t="s">
        <v>29</v>
      </c>
      <c r="I1330" t="str">
        <f>"60521"</f>
        <v>60521</v>
      </c>
      <c r="J1330" t="s">
        <v>22</v>
      </c>
      <c r="K1330" t="s">
        <v>30</v>
      </c>
      <c r="L1330" s="2">
        <v>3531764</v>
      </c>
      <c r="M1330" s="2">
        <v>1261289</v>
      </c>
      <c r="N1330" s="2">
        <v>0</v>
      </c>
      <c r="O1330" s="2">
        <v>489292</v>
      </c>
      <c r="P1330" t="s">
        <v>24</v>
      </c>
      <c r="Q1330" t="s">
        <v>24</v>
      </c>
    </row>
    <row r="1331" spans="1:17" x14ac:dyDescent="0.25">
      <c r="A1331" t="s">
        <v>7161</v>
      </c>
      <c r="B1331" t="s">
        <v>7162</v>
      </c>
      <c r="C1331" s="1">
        <v>41275</v>
      </c>
      <c r="D1331" s="1">
        <v>41639</v>
      </c>
      <c r="E1331" t="s">
        <v>7163</v>
      </c>
      <c r="G1331" t="s">
        <v>1809</v>
      </c>
      <c r="H1331" t="s">
        <v>29</v>
      </c>
      <c r="I1331" t="str">
        <f>"60045"</f>
        <v>60045</v>
      </c>
      <c r="J1331" t="s">
        <v>22</v>
      </c>
      <c r="K1331" t="s">
        <v>30</v>
      </c>
      <c r="L1331" s="2">
        <v>3526652</v>
      </c>
      <c r="M1331" s="2">
        <v>1216601</v>
      </c>
      <c r="N1331" s="2">
        <v>0</v>
      </c>
      <c r="O1331" s="2">
        <v>214506</v>
      </c>
      <c r="P1331" t="s">
        <v>24</v>
      </c>
      <c r="Q1331" t="s">
        <v>24</v>
      </c>
    </row>
    <row r="1332" spans="1:17" x14ac:dyDescent="0.25">
      <c r="A1332" t="s">
        <v>887</v>
      </c>
      <c r="B1332" t="s">
        <v>888</v>
      </c>
      <c r="C1332" s="1">
        <v>41275</v>
      </c>
      <c r="D1332" s="1">
        <v>41639</v>
      </c>
      <c r="E1332" t="s">
        <v>889</v>
      </c>
      <c r="G1332" t="s">
        <v>371</v>
      </c>
      <c r="H1332" t="s">
        <v>29</v>
      </c>
      <c r="I1332" t="str">
        <f>"60062"</f>
        <v>60062</v>
      </c>
      <c r="J1332" t="s">
        <v>22</v>
      </c>
      <c r="K1332" t="s">
        <v>79</v>
      </c>
      <c r="L1332" s="2">
        <v>3525302</v>
      </c>
      <c r="M1332" s="2">
        <v>256181</v>
      </c>
      <c r="N1332" s="2">
        <v>0</v>
      </c>
      <c r="O1332" s="2">
        <v>41586</v>
      </c>
      <c r="P1332" t="s">
        <v>24</v>
      </c>
      <c r="Q1332" t="s">
        <v>24</v>
      </c>
    </row>
    <row r="1333" spans="1:17" x14ac:dyDescent="0.25">
      <c r="A1333" t="s">
        <v>4083</v>
      </c>
      <c r="B1333" t="s">
        <v>4084</v>
      </c>
      <c r="C1333" s="1">
        <v>41275</v>
      </c>
      <c r="D1333" s="1">
        <v>41639</v>
      </c>
      <c r="E1333" t="s">
        <v>4085</v>
      </c>
      <c r="G1333" t="s">
        <v>28</v>
      </c>
      <c r="H1333" t="s">
        <v>29</v>
      </c>
      <c r="I1333" t="str">
        <f>"60654"</f>
        <v>60654</v>
      </c>
      <c r="J1333" t="s">
        <v>22</v>
      </c>
      <c r="K1333" t="s">
        <v>30</v>
      </c>
      <c r="L1333" s="2">
        <v>3523498</v>
      </c>
      <c r="M1333" s="2">
        <v>575032</v>
      </c>
      <c r="N1333" s="2">
        <v>0</v>
      </c>
      <c r="O1333" s="2">
        <v>201838</v>
      </c>
      <c r="P1333" t="s">
        <v>24</v>
      </c>
      <c r="Q1333" t="s">
        <v>24</v>
      </c>
    </row>
    <row r="1334" spans="1:17" x14ac:dyDescent="0.25">
      <c r="A1334" t="s">
        <v>3695</v>
      </c>
      <c r="B1334" t="s">
        <v>3696</v>
      </c>
      <c r="C1334" s="1">
        <v>41275</v>
      </c>
      <c r="D1334" s="1">
        <v>41639</v>
      </c>
      <c r="E1334" t="s">
        <v>3697</v>
      </c>
      <c r="G1334" t="s">
        <v>3115</v>
      </c>
      <c r="H1334" t="s">
        <v>62</v>
      </c>
      <c r="I1334" t="str">
        <f>"44281"</f>
        <v>44281</v>
      </c>
      <c r="J1334" t="s">
        <v>22</v>
      </c>
      <c r="K1334" t="s">
        <v>23</v>
      </c>
      <c r="L1334" s="2">
        <v>3520790</v>
      </c>
      <c r="M1334" s="2">
        <v>1021585</v>
      </c>
      <c r="N1334" s="2">
        <v>0</v>
      </c>
      <c r="O1334" s="2">
        <v>147870</v>
      </c>
      <c r="P1334" t="s">
        <v>24</v>
      </c>
      <c r="Q1334" t="s">
        <v>24</v>
      </c>
    </row>
    <row r="1335" spans="1:17" x14ac:dyDescent="0.25">
      <c r="A1335" t="s">
        <v>7624</v>
      </c>
      <c r="B1335" t="s">
        <v>7625</v>
      </c>
      <c r="C1335" s="1">
        <v>40909</v>
      </c>
      <c r="D1335" s="1">
        <v>41274</v>
      </c>
      <c r="E1335" t="s">
        <v>142</v>
      </c>
      <c r="G1335" t="s">
        <v>143</v>
      </c>
      <c r="H1335" t="s">
        <v>47</v>
      </c>
      <c r="I1335" t="str">
        <f>"48275"</f>
        <v>48275</v>
      </c>
      <c r="J1335" t="s">
        <v>22</v>
      </c>
      <c r="K1335" t="s">
        <v>30</v>
      </c>
      <c r="L1335" s="2">
        <v>3519184</v>
      </c>
      <c r="M1335" s="2">
        <v>2355565</v>
      </c>
      <c r="N1335" s="2">
        <v>0</v>
      </c>
      <c r="O1335" s="2">
        <v>206447</v>
      </c>
      <c r="P1335" t="s">
        <v>24</v>
      </c>
      <c r="Q1335" t="s">
        <v>24</v>
      </c>
    </row>
    <row r="1336" spans="1:17" x14ac:dyDescent="0.25">
      <c r="A1336" t="s">
        <v>5075</v>
      </c>
      <c r="B1336" t="s">
        <v>5076</v>
      </c>
      <c r="C1336" s="1">
        <v>41275</v>
      </c>
      <c r="D1336" s="1">
        <v>41639</v>
      </c>
      <c r="E1336" t="s">
        <v>5077</v>
      </c>
      <c r="G1336" t="s">
        <v>3868</v>
      </c>
      <c r="H1336" t="s">
        <v>62</v>
      </c>
      <c r="I1336" t="str">
        <f>"44131"</f>
        <v>44131</v>
      </c>
      <c r="J1336" t="s">
        <v>22</v>
      </c>
      <c r="K1336" t="s">
        <v>23</v>
      </c>
      <c r="L1336" s="2">
        <v>3518570</v>
      </c>
      <c r="M1336" s="2">
        <v>1204637</v>
      </c>
      <c r="N1336" s="2">
        <v>0</v>
      </c>
      <c r="O1336" s="2">
        <v>196437</v>
      </c>
      <c r="P1336" t="s">
        <v>24</v>
      </c>
      <c r="Q1336" t="s">
        <v>24</v>
      </c>
    </row>
    <row r="1337" spans="1:17" x14ac:dyDescent="0.25">
      <c r="A1337" t="s">
        <v>1738</v>
      </c>
      <c r="B1337" t="s">
        <v>1739</v>
      </c>
      <c r="C1337" s="1">
        <v>41275</v>
      </c>
      <c r="D1337" s="1">
        <v>41639</v>
      </c>
      <c r="E1337" t="s">
        <v>1740</v>
      </c>
      <c r="G1337" t="s">
        <v>1741</v>
      </c>
      <c r="H1337" t="s">
        <v>47</v>
      </c>
      <c r="I1337" t="str">
        <f>"49093"</f>
        <v>49093</v>
      </c>
      <c r="J1337" t="s">
        <v>63</v>
      </c>
      <c r="K1337" t="s">
        <v>64</v>
      </c>
      <c r="L1337" s="2">
        <v>3512468</v>
      </c>
      <c r="M1337" s="2">
        <v>388809</v>
      </c>
      <c r="N1337" s="2">
        <v>367686</v>
      </c>
      <c r="O1337" s="2">
        <v>120622</v>
      </c>
      <c r="P1337" s="2">
        <v>50460</v>
      </c>
      <c r="Q1337" s="2">
        <v>0</v>
      </c>
    </row>
    <row r="1338" spans="1:17" x14ac:dyDescent="0.25">
      <c r="A1338" t="s">
        <v>5724</v>
      </c>
      <c r="B1338" t="s">
        <v>5725</v>
      </c>
      <c r="C1338" s="1">
        <v>41275</v>
      </c>
      <c r="D1338" s="1">
        <v>41639</v>
      </c>
      <c r="E1338" t="s">
        <v>5726</v>
      </c>
      <c r="G1338" t="s">
        <v>5627</v>
      </c>
      <c r="H1338" t="s">
        <v>29</v>
      </c>
      <c r="I1338" t="str">
        <f>"60048"</f>
        <v>60048</v>
      </c>
      <c r="J1338" t="s">
        <v>22</v>
      </c>
      <c r="K1338" t="s">
        <v>79</v>
      </c>
      <c r="L1338" s="2">
        <v>3507252</v>
      </c>
      <c r="M1338" s="2">
        <v>465767</v>
      </c>
      <c r="N1338" s="2">
        <v>0</v>
      </c>
      <c r="O1338" s="2">
        <v>185289</v>
      </c>
      <c r="P1338" t="s">
        <v>24</v>
      </c>
      <c r="Q1338" t="s">
        <v>24</v>
      </c>
    </row>
    <row r="1339" spans="1:17" x14ac:dyDescent="0.25">
      <c r="A1339" t="s">
        <v>2287</v>
      </c>
      <c r="B1339" t="s">
        <v>2288</v>
      </c>
      <c r="C1339" s="1">
        <v>41275</v>
      </c>
      <c r="D1339" s="1">
        <v>41639</v>
      </c>
      <c r="E1339" t="s">
        <v>750</v>
      </c>
      <c r="G1339" t="s">
        <v>751</v>
      </c>
      <c r="H1339" t="s">
        <v>62</v>
      </c>
      <c r="I1339" t="str">
        <f>"44144"</f>
        <v>44144</v>
      </c>
      <c r="J1339" t="s">
        <v>22</v>
      </c>
      <c r="K1339" t="s">
        <v>30</v>
      </c>
      <c r="L1339" s="2">
        <v>3504788</v>
      </c>
      <c r="M1339" s="2">
        <v>488514</v>
      </c>
      <c r="N1339" s="2">
        <v>0</v>
      </c>
      <c r="O1339" s="2">
        <v>176075</v>
      </c>
      <c r="P1339" t="s">
        <v>24</v>
      </c>
      <c r="Q1339" t="s">
        <v>24</v>
      </c>
    </row>
    <row r="1340" spans="1:17" x14ac:dyDescent="0.25">
      <c r="A1340" t="s">
        <v>1889</v>
      </c>
      <c r="B1340" t="s">
        <v>1890</v>
      </c>
      <c r="C1340" s="1">
        <v>41275</v>
      </c>
      <c r="D1340" s="1">
        <v>41639</v>
      </c>
      <c r="E1340" t="s">
        <v>1891</v>
      </c>
      <c r="G1340" t="s">
        <v>432</v>
      </c>
      <c r="H1340" t="s">
        <v>47</v>
      </c>
      <c r="I1340" t="str">
        <f>"49423"</f>
        <v>49423</v>
      </c>
      <c r="J1340" t="s">
        <v>22</v>
      </c>
      <c r="K1340" t="s">
        <v>23</v>
      </c>
      <c r="L1340" s="2">
        <v>3499392</v>
      </c>
      <c r="M1340" s="2">
        <v>204631</v>
      </c>
      <c r="N1340" s="2">
        <v>0</v>
      </c>
      <c r="O1340" s="2">
        <v>304686</v>
      </c>
      <c r="P1340" t="s">
        <v>24</v>
      </c>
      <c r="Q1340" t="s">
        <v>24</v>
      </c>
    </row>
    <row r="1341" spans="1:17" x14ac:dyDescent="0.25">
      <c r="A1341" t="s">
        <v>4253</v>
      </c>
      <c r="B1341" t="s">
        <v>4254</v>
      </c>
      <c r="C1341" s="1">
        <v>41275</v>
      </c>
      <c r="D1341" s="1">
        <v>41639</v>
      </c>
      <c r="E1341" t="s">
        <v>4255</v>
      </c>
      <c r="G1341" t="s">
        <v>28</v>
      </c>
      <c r="H1341" t="s">
        <v>29</v>
      </c>
      <c r="I1341" t="str">
        <f>"60601"</f>
        <v>60601</v>
      </c>
      <c r="J1341" t="s">
        <v>22</v>
      </c>
      <c r="K1341" t="s">
        <v>30</v>
      </c>
      <c r="L1341" s="2">
        <v>3492247</v>
      </c>
      <c r="M1341" s="2">
        <v>1111384</v>
      </c>
      <c r="N1341" s="2">
        <v>0</v>
      </c>
      <c r="O1341" s="2">
        <v>325002</v>
      </c>
      <c r="P1341" t="s">
        <v>24</v>
      </c>
      <c r="Q1341" t="s">
        <v>24</v>
      </c>
    </row>
    <row r="1342" spans="1:17" x14ac:dyDescent="0.25">
      <c r="A1342" t="s">
        <v>897</v>
      </c>
      <c r="B1342" t="s">
        <v>898</v>
      </c>
      <c r="C1342" s="1">
        <v>41275</v>
      </c>
      <c r="D1342" s="1">
        <v>41639</v>
      </c>
      <c r="E1342" t="s">
        <v>899</v>
      </c>
      <c r="G1342" t="s">
        <v>900</v>
      </c>
      <c r="H1342" t="s">
        <v>29</v>
      </c>
      <c r="I1342" t="str">
        <f>"60134"</f>
        <v>60134</v>
      </c>
      <c r="J1342" t="s">
        <v>22</v>
      </c>
      <c r="K1342" t="s">
        <v>30</v>
      </c>
      <c r="L1342" s="2">
        <v>3488866</v>
      </c>
      <c r="M1342" s="2">
        <v>671677</v>
      </c>
      <c r="N1342" s="2">
        <v>2971</v>
      </c>
      <c r="O1342" s="2">
        <v>311624</v>
      </c>
      <c r="P1342" t="s">
        <v>24</v>
      </c>
      <c r="Q1342" t="s">
        <v>24</v>
      </c>
    </row>
    <row r="1343" spans="1:17" x14ac:dyDescent="0.25">
      <c r="A1343" t="s">
        <v>5741</v>
      </c>
      <c r="B1343" t="s">
        <v>5742</v>
      </c>
      <c r="C1343" s="1">
        <v>41275</v>
      </c>
      <c r="D1343" s="1">
        <v>41639</v>
      </c>
      <c r="E1343" t="s">
        <v>5743</v>
      </c>
      <c r="G1343" t="s">
        <v>98</v>
      </c>
      <c r="H1343" t="s">
        <v>29</v>
      </c>
      <c r="I1343" t="str">
        <f>"60515"</f>
        <v>60515</v>
      </c>
      <c r="J1343" t="s">
        <v>22</v>
      </c>
      <c r="K1343" t="s">
        <v>30</v>
      </c>
      <c r="L1343" s="2">
        <v>3486608</v>
      </c>
      <c r="M1343" s="2">
        <v>1504126</v>
      </c>
      <c r="N1343" s="2">
        <v>0</v>
      </c>
      <c r="O1343" s="2">
        <v>101883</v>
      </c>
      <c r="P1343" t="s">
        <v>24</v>
      </c>
      <c r="Q1343" t="s">
        <v>24</v>
      </c>
    </row>
    <row r="1344" spans="1:17" x14ac:dyDescent="0.25">
      <c r="A1344" t="s">
        <v>522</v>
      </c>
      <c r="B1344" t="s">
        <v>523</v>
      </c>
      <c r="C1344" s="1">
        <v>41275</v>
      </c>
      <c r="D1344" s="1">
        <v>41639</v>
      </c>
      <c r="E1344" t="s">
        <v>524</v>
      </c>
      <c r="G1344" t="s">
        <v>353</v>
      </c>
      <c r="H1344" t="s">
        <v>62</v>
      </c>
      <c r="I1344" t="str">
        <f>"43219"</f>
        <v>43219</v>
      </c>
      <c r="J1344" t="s">
        <v>22</v>
      </c>
      <c r="K1344" t="s">
        <v>30</v>
      </c>
      <c r="L1344" s="2">
        <v>3483479</v>
      </c>
      <c r="M1344" s="2">
        <v>2307774</v>
      </c>
      <c r="N1344" s="2">
        <v>0</v>
      </c>
      <c r="O1344" s="2">
        <v>156688</v>
      </c>
      <c r="P1344" t="s">
        <v>24</v>
      </c>
      <c r="Q1344" t="s">
        <v>24</v>
      </c>
    </row>
    <row r="1345" spans="1:17" x14ac:dyDescent="0.25">
      <c r="A1345" t="s">
        <v>2601</v>
      </c>
      <c r="B1345" t="s">
        <v>2602</v>
      </c>
      <c r="C1345" s="1">
        <v>41275</v>
      </c>
      <c r="D1345" s="1">
        <v>41639</v>
      </c>
      <c r="E1345" t="s">
        <v>2603</v>
      </c>
      <c r="G1345" t="s">
        <v>1028</v>
      </c>
      <c r="H1345" t="s">
        <v>47</v>
      </c>
      <c r="I1345" t="str">
        <f>"48104"</f>
        <v>48104</v>
      </c>
      <c r="J1345" t="s">
        <v>22</v>
      </c>
      <c r="K1345" t="s">
        <v>23</v>
      </c>
      <c r="L1345" s="2">
        <v>3482073</v>
      </c>
      <c r="M1345" s="2">
        <v>9032</v>
      </c>
      <c r="N1345" s="2">
        <v>0</v>
      </c>
      <c r="O1345" s="2">
        <v>152940</v>
      </c>
      <c r="P1345" t="s">
        <v>24</v>
      </c>
      <c r="Q1345" t="s">
        <v>24</v>
      </c>
    </row>
    <row r="1346" spans="1:17" x14ac:dyDescent="0.25">
      <c r="A1346" t="s">
        <v>4111</v>
      </c>
      <c r="B1346" t="s">
        <v>4112</v>
      </c>
      <c r="C1346" s="1">
        <v>41275</v>
      </c>
      <c r="D1346" s="1">
        <v>41639</v>
      </c>
      <c r="E1346" t="s">
        <v>4113</v>
      </c>
      <c r="G1346" t="s">
        <v>1028</v>
      </c>
      <c r="H1346" t="s">
        <v>47</v>
      </c>
      <c r="I1346" t="str">
        <f>"48108"</f>
        <v>48108</v>
      </c>
      <c r="J1346" t="s">
        <v>63</v>
      </c>
      <c r="K1346" t="s">
        <v>91</v>
      </c>
      <c r="L1346" s="2">
        <v>3479953</v>
      </c>
      <c r="M1346" s="2">
        <v>73131</v>
      </c>
      <c r="N1346" s="2">
        <v>8936</v>
      </c>
      <c r="O1346" s="2">
        <v>434235</v>
      </c>
      <c r="P1346" s="2">
        <v>95224</v>
      </c>
      <c r="Q1346" s="2">
        <v>39503</v>
      </c>
    </row>
    <row r="1347" spans="1:17" x14ac:dyDescent="0.25">
      <c r="A1347" t="s">
        <v>6139</v>
      </c>
      <c r="B1347" t="s">
        <v>6140</v>
      </c>
      <c r="C1347" s="1">
        <v>41275</v>
      </c>
      <c r="D1347" s="1">
        <v>41639</v>
      </c>
      <c r="E1347" t="s">
        <v>6141</v>
      </c>
      <c r="G1347" t="s">
        <v>353</v>
      </c>
      <c r="H1347" t="s">
        <v>62</v>
      </c>
      <c r="I1347" t="str">
        <f>"43215"</f>
        <v>43215</v>
      </c>
      <c r="J1347" t="s">
        <v>22</v>
      </c>
      <c r="K1347" t="s">
        <v>79</v>
      </c>
      <c r="L1347" s="2">
        <v>3479231</v>
      </c>
      <c r="M1347" s="2">
        <v>3199631</v>
      </c>
      <c r="N1347" s="2">
        <v>0</v>
      </c>
      <c r="O1347" s="2">
        <v>59576</v>
      </c>
      <c r="P1347" t="s">
        <v>24</v>
      </c>
      <c r="Q1347" t="s">
        <v>24</v>
      </c>
    </row>
    <row r="1348" spans="1:17" x14ac:dyDescent="0.25">
      <c r="A1348" t="s">
        <v>6619</v>
      </c>
      <c r="B1348" t="s">
        <v>6620</v>
      </c>
      <c r="C1348" s="1">
        <v>41275</v>
      </c>
      <c r="D1348" s="1">
        <v>41639</v>
      </c>
      <c r="E1348" t="s">
        <v>6621</v>
      </c>
      <c r="G1348" t="s">
        <v>139</v>
      </c>
      <c r="H1348" t="s">
        <v>47</v>
      </c>
      <c r="I1348" t="str">
        <f>"49546"</f>
        <v>49546</v>
      </c>
      <c r="J1348" t="s">
        <v>22</v>
      </c>
      <c r="K1348" t="s">
        <v>23</v>
      </c>
      <c r="L1348" s="2">
        <v>3477856</v>
      </c>
      <c r="M1348" s="2">
        <v>1756713</v>
      </c>
      <c r="N1348" s="2">
        <v>895</v>
      </c>
      <c r="O1348" s="2">
        <v>271106</v>
      </c>
      <c r="P1348" t="s">
        <v>24</v>
      </c>
      <c r="Q1348" t="s">
        <v>24</v>
      </c>
    </row>
    <row r="1349" spans="1:17" x14ac:dyDescent="0.25">
      <c r="A1349" t="s">
        <v>6463</v>
      </c>
      <c r="B1349" t="s">
        <v>6464</v>
      </c>
      <c r="C1349" s="1">
        <v>41275</v>
      </c>
      <c r="D1349" s="1">
        <v>41639</v>
      </c>
      <c r="E1349" t="s">
        <v>585</v>
      </c>
      <c r="G1349" t="s">
        <v>86</v>
      </c>
      <c r="H1349" t="s">
        <v>42</v>
      </c>
      <c r="I1349" t="str">
        <f>"53704"</f>
        <v>53704</v>
      </c>
      <c r="J1349" t="s">
        <v>22</v>
      </c>
      <c r="K1349" t="s">
        <v>79</v>
      </c>
      <c r="L1349" s="2">
        <v>3476936</v>
      </c>
      <c r="M1349" s="2">
        <v>1149882</v>
      </c>
      <c r="N1349" s="2">
        <v>0</v>
      </c>
      <c r="O1349" s="2">
        <v>182268</v>
      </c>
      <c r="P1349" t="s">
        <v>24</v>
      </c>
      <c r="Q1349" t="s">
        <v>24</v>
      </c>
    </row>
    <row r="1350" spans="1:17" x14ac:dyDescent="0.25">
      <c r="A1350" t="s">
        <v>981</v>
      </c>
      <c r="B1350" t="s">
        <v>982</v>
      </c>
      <c r="C1350" s="1">
        <v>41551</v>
      </c>
      <c r="D1350" s="1">
        <v>41639</v>
      </c>
      <c r="E1350" t="s">
        <v>983</v>
      </c>
      <c r="G1350" t="s">
        <v>20</v>
      </c>
      <c r="H1350" t="s">
        <v>21</v>
      </c>
      <c r="I1350" t="str">
        <f>"46260"</f>
        <v>46260</v>
      </c>
      <c r="J1350" t="s">
        <v>22</v>
      </c>
      <c r="K1350" t="s">
        <v>23</v>
      </c>
      <c r="L1350" s="2">
        <v>3471010</v>
      </c>
      <c r="M1350" s="2">
        <v>4213100</v>
      </c>
      <c r="N1350" s="2">
        <v>0</v>
      </c>
      <c r="O1350" s="2">
        <v>850</v>
      </c>
      <c r="P1350" t="s">
        <v>24</v>
      </c>
      <c r="Q1350" t="s">
        <v>24</v>
      </c>
    </row>
    <row r="1351" spans="1:17" x14ac:dyDescent="0.25">
      <c r="A1351" t="s">
        <v>332</v>
      </c>
      <c r="B1351" t="s">
        <v>333</v>
      </c>
      <c r="C1351" s="1">
        <v>41275</v>
      </c>
      <c r="D1351" s="1">
        <v>41639</v>
      </c>
      <c r="E1351" t="s">
        <v>236</v>
      </c>
      <c r="G1351" t="s">
        <v>237</v>
      </c>
      <c r="H1351" t="s">
        <v>42</v>
      </c>
      <c r="I1351" t="str">
        <f>"54601"</f>
        <v>54601</v>
      </c>
      <c r="J1351" t="s">
        <v>63</v>
      </c>
      <c r="K1351" t="s">
        <v>30</v>
      </c>
      <c r="L1351" s="2">
        <v>3470460</v>
      </c>
      <c r="M1351" s="2">
        <v>471741</v>
      </c>
      <c r="N1351" s="2">
        <v>0</v>
      </c>
      <c r="O1351" s="2">
        <v>647967</v>
      </c>
      <c r="P1351" s="2">
        <v>36667</v>
      </c>
      <c r="Q1351" t="s">
        <v>24</v>
      </c>
    </row>
    <row r="1352" spans="1:17" x14ac:dyDescent="0.25">
      <c r="A1352" t="s">
        <v>7006</v>
      </c>
      <c r="B1352" t="s">
        <v>7007</v>
      </c>
      <c r="C1352" s="1">
        <v>40909</v>
      </c>
      <c r="D1352" s="1">
        <v>41274</v>
      </c>
      <c r="E1352" t="s">
        <v>1469</v>
      </c>
      <c r="G1352" t="s">
        <v>1470</v>
      </c>
      <c r="H1352" t="s">
        <v>78</v>
      </c>
      <c r="I1352" t="str">
        <f>"41071"</f>
        <v>41071</v>
      </c>
      <c r="J1352" t="s">
        <v>22</v>
      </c>
      <c r="K1352" t="s">
        <v>23</v>
      </c>
      <c r="L1352" s="2">
        <v>3457639</v>
      </c>
      <c r="M1352" s="2">
        <v>3520157</v>
      </c>
      <c r="N1352" s="2">
        <v>0</v>
      </c>
      <c r="O1352" s="2">
        <v>115615</v>
      </c>
      <c r="P1352" t="s">
        <v>24</v>
      </c>
      <c r="Q1352" t="s">
        <v>24</v>
      </c>
    </row>
    <row r="1353" spans="1:17" x14ac:dyDescent="0.25">
      <c r="A1353" t="s">
        <v>4239</v>
      </c>
      <c r="B1353" t="s">
        <v>4240</v>
      </c>
      <c r="C1353" s="1">
        <v>41518</v>
      </c>
      <c r="D1353" s="1">
        <v>41882</v>
      </c>
      <c r="E1353" t="s">
        <v>4241</v>
      </c>
      <c r="G1353" t="s">
        <v>4242</v>
      </c>
      <c r="H1353" t="s">
        <v>21</v>
      </c>
      <c r="I1353" t="str">
        <f>"47012"</f>
        <v>47012</v>
      </c>
      <c r="J1353" t="s">
        <v>63</v>
      </c>
      <c r="K1353" t="s">
        <v>64</v>
      </c>
      <c r="L1353" s="2">
        <v>3456317</v>
      </c>
      <c r="M1353" s="2">
        <v>790334</v>
      </c>
      <c r="N1353" s="2">
        <v>0</v>
      </c>
      <c r="O1353" s="2">
        <v>480562</v>
      </c>
      <c r="P1353" s="2">
        <v>42776</v>
      </c>
      <c r="Q1353" s="2">
        <v>26675</v>
      </c>
    </row>
    <row r="1354" spans="1:17" x14ac:dyDescent="0.25">
      <c r="A1354" t="s">
        <v>3330</v>
      </c>
      <c r="B1354" t="s">
        <v>3331</v>
      </c>
      <c r="C1354" s="1">
        <v>41275</v>
      </c>
      <c r="D1354" s="1">
        <v>41639</v>
      </c>
      <c r="E1354" t="s">
        <v>3332</v>
      </c>
      <c r="G1354" t="s">
        <v>147</v>
      </c>
      <c r="H1354" t="s">
        <v>62</v>
      </c>
      <c r="I1354" t="str">
        <f>"44308"</f>
        <v>44308</v>
      </c>
      <c r="J1354" t="s">
        <v>22</v>
      </c>
      <c r="K1354" t="s">
        <v>30</v>
      </c>
      <c r="L1354" s="2">
        <v>3455781</v>
      </c>
      <c r="M1354" s="2">
        <v>934516</v>
      </c>
      <c r="N1354" s="2">
        <v>0</v>
      </c>
      <c r="O1354" s="2">
        <v>187123</v>
      </c>
      <c r="P1354" t="s">
        <v>24</v>
      </c>
      <c r="Q1354" t="s">
        <v>24</v>
      </c>
    </row>
    <row r="1355" spans="1:17" x14ac:dyDescent="0.25">
      <c r="A1355" t="s">
        <v>1429</v>
      </c>
      <c r="B1355" t="s">
        <v>1430</v>
      </c>
      <c r="C1355" s="1">
        <v>41275</v>
      </c>
      <c r="D1355" s="1">
        <v>41639</v>
      </c>
      <c r="E1355" t="s">
        <v>489</v>
      </c>
      <c r="G1355" t="s">
        <v>337</v>
      </c>
      <c r="H1355" t="s">
        <v>62</v>
      </c>
      <c r="I1355" t="str">
        <f>"44101"</f>
        <v>44101</v>
      </c>
      <c r="J1355" t="s">
        <v>22</v>
      </c>
      <c r="K1355" t="s">
        <v>23</v>
      </c>
      <c r="L1355" s="2">
        <v>3452102</v>
      </c>
      <c r="M1355" s="2">
        <v>638760</v>
      </c>
      <c r="N1355" s="2">
        <v>0</v>
      </c>
      <c r="O1355" s="2">
        <v>168714</v>
      </c>
      <c r="P1355" t="s">
        <v>24</v>
      </c>
      <c r="Q1355" t="s">
        <v>24</v>
      </c>
    </row>
    <row r="1356" spans="1:17" x14ac:dyDescent="0.25">
      <c r="A1356" t="s">
        <v>5703</v>
      </c>
      <c r="B1356" t="s">
        <v>5704</v>
      </c>
      <c r="C1356" s="1">
        <v>41275</v>
      </c>
      <c r="D1356" s="1">
        <v>41639</v>
      </c>
      <c r="E1356" t="s">
        <v>5705</v>
      </c>
      <c r="G1356" t="s">
        <v>5706</v>
      </c>
      <c r="H1356" t="s">
        <v>42</v>
      </c>
      <c r="I1356" t="str">
        <f>"53593"</f>
        <v>53593</v>
      </c>
      <c r="J1356" t="s">
        <v>22</v>
      </c>
      <c r="K1356" t="s">
        <v>30</v>
      </c>
      <c r="L1356" s="2">
        <v>3447717</v>
      </c>
      <c r="M1356" s="2">
        <v>1597950</v>
      </c>
      <c r="N1356" s="2">
        <v>0</v>
      </c>
      <c r="O1356" s="2">
        <v>227728</v>
      </c>
      <c r="P1356" t="s">
        <v>24</v>
      </c>
      <c r="Q1356" t="s">
        <v>24</v>
      </c>
    </row>
    <row r="1357" spans="1:17" x14ac:dyDescent="0.25">
      <c r="A1357" t="s">
        <v>6239</v>
      </c>
      <c r="B1357" t="s">
        <v>6240</v>
      </c>
      <c r="C1357" s="1">
        <v>40909</v>
      </c>
      <c r="D1357" s="1">
        <v>41274</v>
      </c>
      <c r="E1357" t="s">
        <v>6241</v>
      </c>
      <c r="G1357" t="s">
        <v>6242</v>
      </c>
      <c r="H1357" t="s">
        <v>62</v>
      </c>
      <c r="I1357" t="str">
        <f>"44140"</f>
        <v>44140</v>
      </c>
      <c r="J1357" t="s">
        <v>22</v>
      </c>
      <c r="K1357" t="s">
        <v>23</v>
      </c>
      <c r="L1357" s="2">
        <v>3443871</v>
      </c>
      <c r="M1357" s="2">
        <v>1162933</v>
      </c>
      <c r="N1357" s="2">
        <v>0</v>
      </c>
      <c r="O1357" s="2">
        <v>204842</v>
      </c>
      <c r="P1357" t="s">
        <v>24</v>
      </c>
      <c r="Q1357" t="s">
        <v>24</v>
      </c>
    </row>
    <row r="1358" spans="1:17" x14ac:dyDescent="0.25">
      <c r="A1358" t="s">
        <v>5969</v>
      </c>
      <c r="B1358" t="s">
        <v>5970</v>
      </c>
      <c r="C1358" s="1">
        <v>41275</v>
      </c>
      <c r="D1358" s="1">
        <v>41639</v>
      </c>
      <c r="E1358" t="s">
        <v>5971</v>
      </c>
      <c r="G1358" t="s">
        <v>1946</v>
      </c>
      <c r="H1358" t="s">
        <v>47</v>
      </c>
      <c r="I1358" t="str">
        <f>"48025"</f>
        <v>48025</v>
      </c>
      <c r="J1358" t="s">
        <v>22</v>
      </c>
      <c r="K1358" t="s">
        <v>23</v>
      </c>
      <c r="L1358" s="2">
        <v>3440459</v>
      </c>
      <c r="M1358" s="2">
        <v>9787</v>
      </c>
      <c r="N1358" s="2">
        <v>0</v>
      </c>
      <c r="O1358" s="2">
        <v>16167</v>
      </c>
      <c r="P1358" t="s">
        <v>24</v>
      </c>
      <c r="Q1358" t="s">
        <v>24</v>
      </c>
    </row>
    <row r="1359" spans="1:17" x14ac:dyDescent="0.25">
      <c r="A1359" t="s">
        <v>1366</v>
      </c>
      <c r="B1359" t="s">
        <v>1367</v>
      </c>
      <c r="C1359" s="1">
        <v>41275</v>
      </c>
      <c r="D1359" s="1">
        <v>41639</v>
      </c>
      <c r="E1359" t="s">
        <v>1368</v>
      </c>
      <c r="G1359" t="s">
        <v>1369</v>
      </c>
      <c r="H1359" t="s">
        <v>62</v>
      </c>
      <c r="I1359" t="str">
        <f>"44070"</f>
        <v>44070</v>
      </c>
      <c r="J1359" t="s">
        <v>22</v>
      </c>
      <c r="K1359" t="s">
        <v>30</v>
      </c>
      <c r="L1359" s="2">
        <v>3440321</v>
      </c>
      <c r="M1359" s="2">
        <v>63664</v>
      </c>
      <c r="N1359" s="2">
        <v>0</v>
      </c>
      <c r="O1359" s="2">
        <v>185138</v>
      </c>
      <c r="P1359" t="s">
        <v>24</v>
      </c>
      <c r="Q1359" t="s">
        <v>24</v>
      </c>
    </row>
    <row r="1360" spans="1:17" x14ac:dyDescent="0.25">
      <c r="A1360" t="s">
        <v>5331</v>
      </c>
      <c r="B1360" t="s">
        <v>5332</v>
      </c>
      <c r="C1360" s="1">
        <v>40544</v>
      </c>
      <c r="D1360" s="1">
        <v>40908</v>
      </c>
      <c r="E1360" t="s">
        <v>5333</v>
      </c>
      <c r="G1360" t="s">
        <v>20</v>
      </c>
      <c r="H1360" t="s">
        <v>21</v>
      </c>
      <c r="I1360" t="str">
        <f>"46260"</f>
        <v>46260</v>
      </c>
      <c r="J1360" t="s">
        <v>63</v>
      </c>
      <c r="K1360" t="s">
        <v>79</v>
      </c>
      <c r="L1360" s="2">
        <v>3432431</v>
      </c>
      <c r="M1360" s="2">
        <v>1373679</v>
      </c>
      <c r="N1360" s="2">
        <v>1665599</v>
      </c>
      <c r="O1360" s="2">
        <v>1317136</v>
      </c>
      <c r="P1360" s="2">
        <v>0</v>
      </c>
      <c r="Q1360" s="2">
        <v>0</v>
      </c>
    </row>
    <row r="1361" spans="1:17" x14ac:dyDescent="0.25">
      <c r="A1361" t="s">
        <v>2436</v>
      </c>
      <c r="B1361" t="s">
        <v>2437</v>
      </c>
      <c r="C1361" s="1">
        <v>41183</v>
      </c>
      <c r="D1361" s="1">
        <v>41547</v>
      </c>
      <c r="E1361" t="s">
        <v>2438</v>
      </c>
      <c r="G1361" t="s">
        <v>865</v>
      </c>
      <c r="H1361" t="s">
        <v>29</v>
      </c>
      <c r="I1361" t="str">
        <f>"60035"</f>
        <v>60035</v>
      </c>
      <c r="J1361" t="s">
        <v>22</v>
      </c>
      <c r="K1361" t="s">
        <v>30</v>
      </c>
      <c r="L1361" s="2">
        <v>3427856</v>
      </c>
      <c r="M1361" s="2">
        <v>671634</v>
      </c>
      <c r="N1361" s="2">
        <v>26013</v>
      </c>
      <c r="O1361" s="2">
        <v>150995</v>
      </c>
      <c r="P1361" t="s">
        <v>24</v>
      </c>
      <c r="Q1361" t="s">
        <v>24</v>
      </c>
    </row>
    <row r="1362" spans="1:17" x14ac:dyDescent="0.25">
      <c r="A1362" t="s">
        <v>6553</v>
      </c>
      <c r="B1362" t="s">
        <v>6554</v>
      </c>
      <c r="C1362" s="1">
        <v>41275</v>
      </c>
      <c r="D1362" s="1">
        <v>41639</v>
      </c>
      <c r="E1362" t="s">
        <v>6555</v>
      </c>
      <c r="G1362" t="s">
        <v>2420</v>
      </c>
      <c r="H1362" t="s">
        <v>21</v>
      </c>
      <c r="I1362" t="str">
        <f>"46077"</f>
        <v>46077</v>
      </c>
      <c r="J1362" t="s">
        <v>22</v>
      </c>
      <c r="K1362" t="s">
        <v>79</v>
      </c>
      <c r="L1362" s="2">
        <v>3425669</v>
      </c>
      <c r="M1362" s="2">
        <v>1742426</v>
      </c>
      <c r="N1362" s="2">
        <v>0</v>
      </c>
      <c r="O1362" s="2">
        <v>79644</v>
      </c>
      <c r="P1362" t="s">
        <v>24</v>
      </c>
      <c r="Q1362" t="s">
        <v>24</v>
      </c>
    </row>
    <row r="1363" spans="1:17" x14ac:dyDescent="0.25">
      <c r="A1363" t="s">
        <v>1455</v>
      </c>
      <c r="B1363" t="s">
        <v>1456</v>
      </c>
      <c r="C1363" s="1">
        <v>41244</v>
      </c>
      <c r="D1363" s="1">
        <v>41608</v>
      </c>
      <c r="E1363" t="s">
        <v>40</v>
      </c>
      <c r="G1363" t="s">
        <v>41</v>
      </c>
      <c r="H1363" t="s">
        <v>42</v>
      </c>
      <c r="I1363" t="str">
        <f>"53201"</f>
        <v>53201</v>
      </c>
      <c r="J1363" t="s">
        <v>22</v>
      </c>
      <c r="K1363" t="s">
        <v>79</v>
      </c>
      <c r="L1363" s="2">
        <v>3424455</v>
      </c>
      <c r="M1363" s="2">
        <v>184627</v>
      </c>
      <c r="N1363" s="2">
        <v>0</v>
      </c>
      <c r="O1363" s="2">
        <v>198931</v>
      </c>
      <c r="P1363" t="s">
        <v>24</v>
      </c>
      <c r="Q1363" t="s">
        <v>24</v>
      </c>
    </row>
    <row r="1364" spans="1:17" x14ac:dyDescent="0.25">
      <c r="A1364" t="s">
        <v>4425</v>
      </c>
      <c r="B1364" t="s">
        <v>4426</v>
      </c>
      <c r="C1364" s="1">
        <v>41275</v>
      </c>
      <c r="D1364" s="1">
        <v>41639</v>
      </c>
      <c r="E1364" t="s">
        <v>4427</v>
      </c>
      <c r="G1364" t="s">
        <v>1853</v>
      </c>
      <c r="H1364" t="s">
        <v>29</v>
      </c>
      <c r="I1364" t="str">
        <f>"62301"</f>
        <v>62301</v>
      </c>
      <c r="J1364" t="s">
        <v>22</v>
      </c>
      <c r="K1364" t="s">
        <v>30</v>
      </c>
      <c r="L1364" s="2">
        <v>3420471</v>
      </c>
      <c r="M1364" s="2">
        <v>338887</v>
      </c>
      <c r="N1364" s="2">
        <v>0</v>
      </c>
      <c r="O1364" s="2">
        <v>138947</v>
      </c>
      <c r="P1364" t="s">
        <v>24</v>
      </c>
      <c r="Q1364" t="s">
        <v>24</v>
      </c>
    </row>
    <row r="1365" spans="1:17" x14ac:dyDescent="0.25">
      <c r="A1365" t="s">
        <v>6556</v>
      </c>
      <c r="B1365" t="s">
        <v>6557</v>
      </c>
      <c r="C1365" s="1">
        <v>41275</v>
      </c>
      <c r="D1365" s="1">
        <v>41639</v>
      </c>
      <c r="E1365" t="s">
        <v>236</v>
      </c>
      <c r="G1365" t="s">
        <v>237</v>
      </c>
      <c r="H1365" t="s">
        <v>42</v>
      </c>
      <c r="I1365" t="str">
        <f>"54601"</f>
        <v>54601</v>
      </c>
      <c r="J1365" t="s">
        <v>22</v>
      </c>
      <c r="K1365" t="s">
        <v>30</v>
      </c>
      <c r="L1365" s="2">
        <v>3411028</v>
      </c>
      <c r="M1365" s="2">
        <v>2029441</v>
      </c>
      <c r="N1365" s="2">
        <v>0</v>
      </c>
      <c r="O1365" s="2">
        <v>219629</v>
      </c>
      <c r="P1365" t="s">
        <v>24</v>
      </c>
      <c r="Q1365" t="s">
        <v>24</v>
      </c>
    </row>
    <row r="1366" spans="1:17" x14ac:dyDescent="0.25">
      <c r="A1366" t="s">
        <v>5636</v>
      </c>
      <c r="B1366" t="s">
        <v>5637</v>
      </c>
      <c r="C1366" s="1">
        <v>41275</v>
      </c>
      <c r="D1366" s="1">
        <v>41639</v>
      </c>
      <c r="E1366" t="s">
        <v>2387</v>
      </c>
      <c r="G1366" t="s">
        <v>353</v>
      </c>
      <c r="H1366" t="s">
        <v>62</v>
      </c>
      <c r="I1366" t="str">
        <f>"43216"</f>
        <v>43216</v>
      </c>
      <c r="J1366" t="s">
        <v>22</v>
      </c>
      <c r="K1366" t="s">
        <v>30</v>
      </c>
      <c r="L1366" s="2">
        <v>3408752</v>
      </c>
      <c r="M1366" s="2">
        <v>838170</v>
      </c>
      <c r="N1366" s="2">
        <v>0</v>
      </c>
      <c r="O1366" s="2">
        <v>189969</v>
      </c>
      <c r="P1366" t="s">
        <v>24</v>
      </c>
      <c r="Q1366" t="s">
        <v>24</v>
      </c>
    </row>
    <row r="1367" spans="1:17" x14ac:dyDescent="0.25">
      <c r="A1367" t="s">
        <v>3206</v>
      </c>
      <c r="B1367" t="s">
        <v>3207</v>
      </c>
      <c r="C1367" s="1">
        <v>41275</v>
      </c>
      <c r="D1367" s="1">
        <v>41639</v>
      </c>
      <c r="E1367" t="s">
        <v>3208</v>
      </c>
      <c r="G1367" t="s">
        <v>604</v>
      </c>
      <c r="H1367" t="s">
        <v>42</v>
      </c>
      <c r="I1367" t="str">
        <f>"53562"</f>
        <v>53562</v>
      </c>
      <c r="J1367" t="s">
        <v>22</v>
      </c>
      <c r="K1367" t="s">
        <v>23</v>
      </c>
      <c r="L1367" s="2">
        <v>3407381</v>
      </c>
      <c r="M1367" s="2">
        <v>1940701</v>
      </c>
      <c r="N1367" s="2">
        <v>0</v>
      </c>
      <c r="O1367" s="2">
        <v>716605</v>
      </c>
      <c r="P1367" t="s">
        <v>24</v>
      </c>
      <c r="Q1367" t="s">
        <v>24</v>
      </c>
    </row>
    <row r="1368" spans="1:17" x14ac:dyDescent="0.25">
      <c r="A1368" t="s">
        <v>4981</v>
      </c>
      <c r="B1368" t="s">
        <v>4982</v>
      </c>
      <c r="C1368" s="1">
        <v>41275</v>
      </c>
      <c r="D1368" s="1">
        <v>41639</v>
      </c>
      <c r="E1368" t="s">
        <v>4983</v>
      </c>
      <c r="G1368" t="s">
        <v>1678</v>
      </c>
      <c r="H1368" t="s">
        <v>62</v>
      </c>
      <c r="I1368" t="str">
        <f>"44139"</f>
        <v>44139</v>
      </c>
      <c r="J1368" t="s">
        <v>22</v>
      </c>
      <c r="K1368" t="s">
        <v>23</v>
      </c>
      <c r="L1368" s="2">
        <v>3400259</v>
      </c>
      <c r="M1368" s="2">
        <v>1011076</v>
      </c>
      <c r="N1368" s="2">
        <v>0</v>
      </c>
      <c r="O1368" s="2">
        <v>233782</v>
      </c>
      <c r="P1368" t="s">
        <v>24</v>
      </c>
      <c r="Q1368" t="s">
        <v>24</v>
      </c>
    </row>
    <row r="1369" spans="1:17" x14ac:dyDescent="0.25">
      <c r="A1369" t="s">
        <v>7506</v>
      </c>
      <c r="B1369" t="s">
        <v>7507</v>
      </c>
      <c r="C1369" s="1">
        <v>41426</v>
      </c>
      <c r="D1369" s="1">
        <v>41790</v>
      </c>
      <c r="E1369" t="s">
        <v>104</v>
      </c>
      <c r="G1369" t="s">
        <v>28</v>
      </c>
      <c r="H1369" t="s">
        <v>29</v>
      </c>
      <c r="I1369" t="str">
        <f>"60680"</f>
        <v>60680</v>
      </c>
      <c r="J1369" t="s">
        <v>22</v>
      </c>
      <c r="K1369" t="s">
        <v>30</v>
      </c>
      <c r="L1369" s="2">
        <v>3399491</v>
      </c>
      <c r="M1369" s="2">
        <v>1581600</v>
      </c>
      <c r="N1369" s="2">
        <v>0</v>
      </c>
      <c r="O1369" s="2">
        <v>135399</v>
      </c>
      <c r="P1369" t="s">
        <v>24</v>
      </c>
      <c r="Q1369" t="s">
        <v>24</v>
      </c>
    </row>
    <row r="1370" spans="1:17" x14ac:dyDescent="0.25">
      <c r="A1370" t="s">
        <v>5568</v>
      </c>
      <c r="B1370" t="s">
        <v>5569</v>
      </c>
      <c r="C1370" s="1">
        <v>41275</v>
      </c>
      <c r="D1370" s="1">
        <v>41639</v>
      </c>
      <c r="E1370" t="s">
        <v>163</v>
      </c>
      <c r="G1370" t="s">
        <v>28</v>
      </c>
      <c r="H1370" t="s">
        <v>29</v>
      </c>
      <c r="I1370" t="str">
        <f>"60603"</f>
        <v>60603</v>
      </c>
      <c r="J1370" t="s">
        <v>22</v>
      </c>
      <c r="K1370" t="s">
        <v>30</v>
      </c>
      <c r="L1370" s="2">
        <v>3397808</v>
      </c>
      <c r="M1370" s="2">
        <v>1362189</v>
      </c>
      <c r="N1370" s="2">
        <v>0</v>
      </c>
      <c r="O1370" s="2">
        <v>158064</v>
      </c>
      <c r="P1370" t="s">
        <v>24</v>
      </c>
      <c r="Q1370" t="s">
        <v>24</v>
      </c>
    </row>
    <row r="1371" spans="1:17" x14ac:dyDescent="0.25">
      <c r="A1371" t="s">
        <v>4637</v>
      </c>
      <c r="B1371" t="s">
        <v>4638</v>
      </c>
      <c r="C1371" s="1">
        <v>41275</v>
      </c>
      <c r="D1371" s="1">
        <v>41639</v>
      </c>
      <c r="E1371" t="s">
        <v>4639</v>
      </c>
      <c r="G1371" t="s">
        <v>965</v>
      </c>
      <c r="H1371" t="s">
        <v>29</v>
      </c>
      <c r="I1371" t="str">
        <f>"62523"</f>
        <v>62523</v>
      </c>
      <c r="J1371" t="s">
        <v>22</v>
      </c>
      <c r="K1371" t="s">
        <v>30</v>
      </c>
      <c r="L1371" s="2">
        <v>3394592</v>
      </c>
      <c r="M1371" s="2">
        <v>282162</v>
      </c>
      <c r="N1371" s="2">
        <v>0</v>
      </c>
      <c r="O1371" s="2">
        <v>169001</v>
      </c>
      <c r="P1371" t="s">
        <v>24</v>
      </c>
      <c r="Q1371" t="s">
        <v>24</v>
      </c>
    </row>
    <row r="1372" spans="1:17" x14ac:dyDescent="0.25">
      <c r="A1372" t="s">
        <v>3621</v>
      </c>
      <c r="B1372" t="s">
        <v>3622</v>
      </c>
      <c r="C1372" s="1">
        <v>41275</v>
      </c>
      <c r="D1372" s="1">
        <v>41639</v>
      </c>
      <c r="E1372" t="s">
        <v>3623</v>
      </c>
      <c r="G1372" t="s">
        <v>3624</v>
      </c>
      <c r="H1372" t="s">
        <v>47</v>
      </c>
      <c r="I1372" t="str">
        <f>"48858"</f>
        <v>48858</v>
      </c>
      <c r="J1372" t="s">
        <v>22</v>
      </c>
      <c r="K1372" t="s">
        <v>23</v>
      </c>
      <c r="L1372" s="2">
        <v>3388646</v>
      </c>
      <c r="M1372" s="2">
        <v>2039636</v>
      </c>
      <c r="N1372" s="2">
        <v>0</v>
      </c>
      <c r="O1372" s="2">
        <v>158813</v>
      </c>
      <c r="P1372" t="s">
        <v>24</v>
      </c>
      <c r="Q1372" t="s">
        <v>24</v>
      </c>
    </row>
    <row r="1373" spans="1:17" x14ac:dyDescent="0.25">
      <c r="A1373" t="s">
        <v>6446</v>
      </c>
      <c r="B1373" t="s">
        <v>6447</v>
      </c>
      <c r="C1373" s="1">
        <v>41275</v>
      </c>
      <c r="D1373" s="1">
        <v>41639</v>
      </c>
      <c r="E1373" t="s">
        <v>40</v>
      </c>
      <c r="G1373" t="s">
        <v>41</v>
      </c>
      <c r="H1373" t="s">
        <v>42</v>
      </c>
      <c r="I1373" t="str">
        <f>"53201"</f>
        <v>53201</v>
      </c>
      <c r="J1373" t="s">
        <v>22</v>
      </c>
      <c r="K1373" t="s">
        <v>30</v>
      </c>
      <c r="L1373" s="2">
        <v>3387533</v>
      </c>
      <c r="M1373" s="2">
        <v>1238137</v>
      </c>
      <c r="N1373" s="2">
        <v>0</v>
      </c>
      <c r="O1373" s="2">
        <v>181389</v>
      </c>
      <c r="P1373" t="s">
        <v>24</v>
      </c>
      <c r="Q1373" t="s">
        <v>24</v>
      </c>
    </row>
    <row r="1374" spans="1:17" x14ac:dyDescent="0.25">
      <c r="A1374" t="s">
        <v>1051</v>
      </c>
      <c r="B1374" t="s">
        <v>1052</v>
      </c>
      <c r="C1374" s="1">
        <v>41275</v>
      </c>
      <c r="D1374" s="1">
        <v>41639</v>
      </c>
      <c r="E1374" t="s">
        <v>1053</v>
      </c>
      <c r="G1374" t="s">
        <v>1054</v>
      </c>
      <c r="H1374" t="s">
        <v>47</v>
      </c>
      <c r="I1374" t="str">
        <f>"48325"</f>
        <v>48325</v>
      </c>
      <c r="J1374" t="s">
        <v>22</v>
      </c>
      <c r="K1374" t="s">
        <v>23</v>
      </c>
      <c r="L1374" s="2">
        <v>3384873</v>
      </c>
      <c r="M1374" s="2">
        <v>384577</v>
      </c>
      <c r="N1374" s="2">
        <v>0</v>
      </c>
      <c r="O1374" s="2">
        <v>175354</v>
      </c>
      <c r="P1374" t="s">
        <v>24</v>
      </c>
      <c r="Q1374" t="s">
        <v>24</v>
      </c>
    </row>
    <row r="1375" spans="1:17" x14ac:dyDescent="0.25">
      <c r="A1375" t="s">
        <v>5007</v>
      </c>
      <c r="B1375" t="s">
        <v>5008</v>
      </c>
      <c r="C1375" s="1">
        <v>41395</v>
      </c>
      <c r="D1375" s="1">
        <v>41759</v>
      </c>
      <c r="E1375" t="s">
        <v>5009</v>
      </c>
      <c r="G1375" t="s">
        <v>5010</v>
      </c>
      <c r="H1375" t="s">
        <v>29</v>
      </c>
      <c r="I1375" t="str">
        <f>"61081"</f>
        <v>61081</v>
      </c>
      <c r="J1375" t="s">
        <v>63</v>
      </c>
      <c r="K1375" t="s">
        <v>30</v>
      </c>
      <c r="L1375" s="2">
        <v>3383346</v>
      </c>
      <c r="M1375" s="2">
        <v>623886</v>
      </c>
      <c r="N1375" s="2">
        <v>84487</v>
      </c>
      <c r="O1375" s="2">
        <v>471077</v>
      </c>
      <c r="P1375" s="2">
        <v>25493</v>
      </c>
      <c r="Q1375" s="2">
        <v>47106</v>
      </c>
    </row>
    <row r="1376" spans="1:17" x14ac:dyDescent="0.25">
      <c r="A1376" t="s">
        <v>2560</v>
      </c>
      <c r="B1376" t="s">
        <v>2561</v>
      </c>
      <c r="C1376" s="1">
        <v>41275</v>
      </c>
      <c r="D1376" s="1">
        <v>41639</v>
      </c>
      <c r="E1376" t="s">
        <v>2562</v>
      </c>
      <c r="G1376" t="s">
        <v>1028</v>
      </c>
      <c r="H1376" t="s">
        <v>47</v>
      </c>
      <c r="I1376" t="str">
        <f>"48105"</f>
        <v>48105</v>
      </c>
      <c r="J1376" t="s">
        <v>22</v>
      </c>
      <c r="K1376" t="s">
        <v>30</v>
      </c>
      <c r="L1376" s="2">
        <v>3383280</v>
      </c>
      <c r="M1376" s="2">
        <v>3566610</v>
      </c>
      <c r="N1376" s="2">
        <v>0</v>
      </c>
      <c r="O1376" s="2">
        <v>140322</v>
      </c>
      <c r="P1376" t="s">
        <v>24</v>
      </c>
      <c r="Q1376" t="s">
        <v>24</v>
      </c>
    </row>
    <row r="1377" spans="1:17" x14ac:dyDescent="0.25">
      <c r="A1377" t="s">
        <v>4025</v>
      </c>
      <c r="B1377" t="s">
        <v>4026</v>
      </c>
      <c r="C1377" s="1">
        <v>41275</v>
      </c>
      <c r="D1377" s="1">
        <v>41639</v>
      </c>
      <c r="E1377" t="s">
        <v>4027</v>
      </c>
      <c r="G1377" t="s">
        <v>28</v>
      </c>
      <c r="H1377" t="s">
        <v>29</v>
      </c>
      <c r="I1377" t="str">
        <f>"60601"</f>
        <v>60601</v>
      </c>
      <c r="J1377" t="s">
        <v>63</v>
      </c>
      <c r="K1377" t="s">
        <v>4028</v>
      </c>
      <c r="L1377" s="2">
        <v>3379698</v>
      </c>
      <c r="M1377" s="2">
        <v>476531</v>
      </c>
      <c r="N1377" s="2">
        <v>55629</v>
      </c>
      <c r="O1377" s="2">
        <v>393412</v>
      </c>
      <c r="P1377" s="2">
        <v>46071</v>
      </c>
      <c r="Q1377" s="2">
        <v>39825</v>
      </c>
    </row>
    <row r="1378" spans="1:17" x14ac:dyDescent="0.25">
      <c r="A1378" t="s">
        <v>4392</v>
      </c>
      <c r="B1378" t="s">
        <v>4393</v>
      </c>
      <c r="C1378" s="1">
        <v>40909</v>
      </c>
      <c r="D1378" s="1">
        <v>41274</v>
      </c>
      <c r="E1378" t="s">
        <v>4394</v>
      </c>
      <c r="G1378" t="s">
        <v>1386</v>
      </c>
      <c r="H1378" t="s">
        <v>47</v>
      </c>
      <c r="I1378" t="str">
        <f>"48532"</f>
        <v>48532</v>
      </c>
      <c r="J1378" t="s">
        <v>22</v>
      </c>
      <c r="K1378" t="s">
        <v>23</v>
      </c>
      <c r="L1378" s="2">
        <v>3375513</v>
      </c>
      <c r="M1378" s="2">
        <v>459044781</v>
      </c>
      <c r="N1378" s="2">
        <v>0</v>
      </c>
      <c r="O1378" s="2">
        <v>176380</v>
      </c>
      <c r="P1378" t="s">
        <v>24</v>
      </c>
      <c r="Q1378" t="s">
        <v>24</v>
      </c>
    </row>
    <row r="1379" spans="1:17" x14ac:dyDescent="0.25">
      <c r="A1379" t="s">
        <v>1869</v>
      </c>
      <c r="B1379" t="s">
        <v>1870</v>
      </c>
      <c r="C1379" s="1">
        <v>41275</v>
      </c>
      <c r="D1379" s="1">
        <v>41639</v>
      </c>
      <c r="E1379" t="s">
        <v>187</v>
      </c>
      <c r="G1379" t="s">
        <v>143</v>
      </c>
      <c r="H1379" t="s">
        <v>47</v>
      </c>
      <c r="I1379" t="str">
        <f>"48226"</f>
        <v>48226</v>
      </c>
      <c r="J1379" t="s">
        <v>22</v>
      </c>
      <c r="K1379" t="s">
        <v>23</v>
      </c>
      <c r="L1379" s="2">
        <v>3369787</v>
      </c>
      <c r="M1379" s="2">
        <v>365580</v>
      </c>
      <c r="N1379" s="2">
        <v>0</v>
      </c>
      <c r="O1379" s="2">
        <v>321423</v>
      </c>
      <c r="P1379" t="s">
        <v>24</v>
      </c>
      <c r="Q1379" t="s">
        <v>24</v>
      </c>
    </row>
    <row r="1380" spans="1:17" x14ac:dyDescent="0.25">
      <c r="A1380" t="s">
        <v>5581</v>
      </c>
      <c r="B1380" t="s">
        <v>5582</v>
      </c>
      <c r="C1380" s="1">
        <v>41275</v>
      </c>
      <c r="D1380" s="1">
        <v>41639</v>
      </c>
      <c r="E1380" t="s">
        <v>5583</v>
      </c>
      <c r="G1380" t="s">
        <v>28</v>
      </c>
      <c r="H1380" t="s">
        <v>29</v>
      </c>
      <c r="I1380" t="str">
        <f>"60603"</f>
        <v>60603</v>
      </c>
      <c r="J1380" t="s">
        <v>22</v>
      </c>
      <c r="K1380" t="s">
        <v>23</v>
      </c>
      <c r="L1380" s="2">
        <v>3367603</v>
      </c>
      <c r="M1380" s="2">
        <v>871878</v>
      </c>
      <c r="N1380" s="2">
        <v>0</v>
      </c>
      <c r="O1380" s="2">
        <v>176365</v>
      </c>
      <c r="P1380" t="s">
        <v>24</v>
      </c>
      <c r="Q1380" t="s">
        <v>24</v>
      </c>
    </row>
    <row r="1381" spans="1:17" x14ac:dyDescent="0.25">
      <c r="A1381" t="s">
        <v>5474</v>
      </c>
      <c r="B1381" t="s">
        <v>5475</v>
      </c>
      <c r="C1381" s="1">
        <v>41091</v>
      </c>
      <c r="D1381" s="1">
        <v>41455</v>
      </c>
      <c r="E1381" t="s">
        <v>5476</v>
      </c>
      <c r="G1381" t="s">
        <v>5477</v>
      </c>
      <c r="H1381" t="s">
        <v>21</v>
      </c>
      <c r="I1381" t="str">
        <f>"47906"</f>
        <v>47906</v>
      </c>
      <c r="J1381" t="s">
        <v>63</v>
      </c>
      <c r="K1381" t="s">
        <v>23</v>
      </c>
      <c r="L1381" s="2">
        <v>3367291</v>
      </c>
      <c r="M1381" s="2">
        <v>47291889</v>
      </c>
      <c r="N1381" s="2">
        <v>3367291</v>
      </c>
      <c r="O1381" s="2">
        <v>47291889</v>
      </c>
      <c r="P1381" s="2">
        <v>166095</v>
      </c>
      <c r="Q1381" s="2">
        <v>0</v>
      </c>
    </row>
    <row r="1382" spans="1:17" x14ac:dyDescent="0.25">
      <c r="A1382" t="s">
        <v>6505</v>
      </c>
      <c r="B1382" t="s">
        <v>6506</v>
      </c>
      <c r="C1382" s="1">
        <v>41091</v>
      </c>
      <c r="D1382" s="1">
        <v>41455</v>
      </c>
      <c r="E1382" t="s">
        <v>163</v>
      </c>
      <c r="G1382" t="s">
        <v>28</v>
      </c>
      <c r="H1382" t="s">
        <v>29</v>
      </c>
      <c r="I1382" t="str">
        <f>"60603"</f>
        <v>60603</v>
      </c>
      <c r="J1382" t="s">
        <v>22</v>
      </c>
      <c r="K1382" t="s">
        <v>23</v>
      </c>
      <c r="L1382" s="2">
        <v>3363562</v>
      </c>
      <c r="M1382" s="2">
        <v>2027819</v>
      </c>
      <c r="N1382" s="2">
        <v>0</v>
      </c>
      <c r="O1382" s="2">
        <v>151586</v>
      </c>
      <c r="P1382" t="s">
        <v>24</v>
      </c>
      <c r="Q1382" t="s">
        <v>24</v>
      </c>
    </row>
    <row r="1383" spans="1:17" x14ac:dyDescent="0.25">
      <c r="A1383" t="s">
        <v>6243</v>
      </c>
      <c r="B1383" t="s">
        <v>6244</v>
      </c>
      <c r="C1383" s="1">
        <v>41275</v>
      </c>
      <c r="D1383" s="1">
        <v>41639</v>
      </c>
      <c r="E1383" t="s">
        <v>6245</v>
      </c>
      <c r="G1383" t="s">
        <v>20</v>
      </c>
      <c r="H1383" t="s">
        <v>21</v>
      </c>
      <c r="I1383" t="str">
        <f>"46220"</f>
        <v>46220</v>
      </c>
      <c r="J1383" t="s">
        <v>22</v>
      </c>
      <c r="K1383" t="s">
        <v>23</v>
      </c>
      <c r="L1383" s="2">
        <v>3358280</v>
      </c>
      <c r="M1383" s="2">
        <v>2413651</v>
      </c>
      <c r="N1383" s="2">
        <v>0</v>
      </c>
      <c r="O1383" s="2">
        <v>156757</v>
      </c>
      <c r="P1383" t="s">
        <v>24</v>
      </c>
      <c r="Q1383" t="s">
        <v>24</v>
      </c>
    </row>
    <row r="1384" spans="1:17" x14ac:dyDescent="0.25">
      <c r="A1384" t="s">
        <v>615</v>
      </c>
      <c r="B1384" t="s">
        <v>616</v>
      </c>
      <c r="C1384" s="1">
        <v>41275</v>
      </c>
      <c r="D1384" s="1">
        <v>41639</v>
      </c>
      <c r="E1384" t="s">
        <v>617</v>
      </c>
      <c r="G1384" t="s">
        <v>41</v>
      </c>
      <c r="H1384" t="s">
        <v>42</v>
      </c>
      <c r="I1384" t="str">
        <f>"53217"</f>
        <v>53217</v>
      </c>
      <c r="J1384" t="s">
        <v>22</v>
      </c>
      <c r="K1384" t="s">
        <v>23</v>
      </c>
      <c r="L1384" s="2">
        <v>3347117</v>
      </c>
      <c r="M1384" s="2">
        <v>400000</v>
      </c>
      <c r="N1384" s="2">
        <v>0</v>
      </c>
      <c r="O1384" s="2">
        <v>384495</v>
      </c>
      <c r="P1384" t="s">
        <v>24</v>
      </c>
      <c r="Q1384" t="s">
        <v>24</v>
      </c>
    </row>
    <row r="1385" spans="1:17" x14ac:dyDescent="0.25">
      <c r="A1385" t="s">
        <v>3788</v>
      </c>
      <c r="B1385" t="s">
        <v>3789</v>
      </c>
      <c r="C1385" s="1">
        <v>40909</v>
      </c>
      <c r="D1385" s="1">
        <v>41274</v>
      </c>
      <c r="E1385" t="s">
        <v>3790</v>
      </c>
      <c r="G1385" t="s">
        <v>167</v>
      </c>
      <c r="H1385" t="s">
        <v>62</v>
      </c>
      <c r="I1385" t="str">
        <f>"45247"</f>
        <v>45247</v>
      </c>
      <c r="J1385" t="s">
        <v>22</v>
      </c>
      <c r="K1385" t="s">
        <v>79</v>
      </c>
      <c r="L1385" s="2">
        <v>3345777</v>
      </c>
      <c r="M1385" s="2">
        <v>535765</v>
      </c>
      <c r="N1385" s="2">
        <v>0</v>
      </c>
      <c r="O1385" s="2">
        <v>408911</v>
      </c>
      <c r="P1385" t="s">
        <v>24</v>
      </c>
      <c r="Q1385" t="s">
        <v>24</v>
      </c>
    </row>
    <row r="1386" spans="1:17" x14ac:dyDescent="0.25">
      <c r="A1386" t="s">
        <v>4836</v>
      </c>
      <c r="B1386" t="s">
        <v>4837</v>
      </c>
      <c r="C1386" s="1">
        <v>41275</v>
      </c>
      <c r="D1386" s="1">
        <v>41639</v>
      </c>
      <c r="E1386" t="s">
        <v>4838</v>
      </c>
      <c r="G1386" t="s">
        <v>28</v>
      </c>
      <c r="H1386" t="s">
        <v>29</v>
      </c>
      <c r="I1386" t="str">
        <f>"60626"</f>
        <v>60626</v>
      </c>
      <c r="J1386" t="s">
        <v>22</v>
      </c>
      <c r="K1386" t="s">
        <v>30</v>
      </c>
      <c r="L1386" s="2">
        <v>3335727</v>
      </c>
      <c r="M1386" s="2">
        <v>1171537</v>
      </c>
      <c r="N1386" s="2">
        <v>0</v>
      </c>
      <c r="O1386" s="2">
        <v>164979</v>
      </c>
      <c r="P1386" t="s">
        <v>24</v>
      </c>
      <c r="Q1386" t="s">
        <v>24</v>
      </c>
    </row>
    <row r="1387" spans="1:17" x14ac:dyDescent="0.25">
      <c r="A1387" t="s">
        <v>5235</v>
      </c>
      <c r="B1387" t="s">
        <v>5236</v>
      </c>
      <c r="C1387" s="1">
        <v>41275</v>
      </c>
      <c r="D1387" s="1">
        <v>41639</v>
      </c>
      <c r="E1387" t="s">
        <v>5237</v>
      </c>
      <c r="F1387" t="s">
        <v>5238</v>
      </c>
      <c r="G1387" t="s">
        <v>1042</v>
      </c>
      <c r="H1387" t="s">
        <v>47</v>
      </c>
      <c r="I1387" t="str">
        <f>"48304"</f>
        <v>48304</v>
      </c>
      <c r="J1387" t="s">
        <v>22</v>
      </c>
      <c r="K1387" t="s">
        <v>23</v>
      </c>
      <c r="L1387" s="2">
        <v>3335067</v>
      </c>
      <c r="M1387" s="2">
        <v>1191064</v>
      </c>
      <c r="N1387" s="2">
        <v>0</v>
      </c>
      <c r="O1387" s="2">
        <v>183479</v>
      </c>
      <c r="P1387" t="s">
        <v>24</v>
      </c>
      <c r="Q1387" t="s">
        <v>24</v>
      </c>
    </row>
    <row r="1388" spans="1:17" x14ac:dyDescent="0.25">
      <c r="A1388" t="s">
        <v>2195</v>
      </c>
      <c r="B1388" t="s">
        <v>2196</v>
      </c>
      <c r="C1388" s="1">
        <v>41275</v>
      </c>
      <c r="D1388" s="1">
        <v>41639</v>
      </c>
      <c r="E1388" t="s">
        <v>2197</v>
      </c>
      <c r="G1388" t="s">
        <v>2198</v>
      </c>
      <c r="H1388" t="s">
        <v>29</v>
      </c>
      <c r="I1388" t="str">
        <f>"60047"</f>
        <v>60047</v>
      </c>
      <c r="J1388" t="s">
        <v>22</v>
      </c>
      <c r="K1388" t="s">
        <v>30</v>
      </c>
      <c r="L1388" s="2">
        <v>3325374</v>
      </c>
      <c r="M1388" s="2">
        <v>2120410</v>
      </c>
      <c r="N1388" s="2">
        <v>0</v>
      </c>
      <c r="O1388" s="2">
        <v>202782</v>
      </c>
      <c r="P1388" t="s">
        <v>24</v>
      </c>
      <c r="Q1388" t="s">
        <v>24</v>
      </c>
    </row>
    <row r="1389" spans="1:17" x14ac:dyDescent="0.25">
      <c r="A1389" t="s">
        <v>7203</v>
      </c>
      <c r="B1389" t="s">
        <v>7204</v>
      </c>
      <c r="C1389" s="1">
        <v>41365</v>
      </c>
      <c r="D1389" s="1">
        <v>41729</v>
      </c>
      <c r="E1389" t="s">
        <v>7205</v>
      </c>
      <c r="G1389" t="s">
        <v>432</v>
      </c>
      <c r="H1389" t="s">
        <v>47</v>
      </c>
      <c r="I1389" t="str">
        <f>"49422"</f>
        <v>49422</v>
      </c>
      <c r="J1389" t="s">
        <v>63</v>
      </c>
      <c r="K1389" t="s">
        <v>64</v>
      </c>
      <c r="L1389" s="2">
        <v>3325249</v>
      </c>
      <c r="M1389" s="2">
        <v>2309469</v>
      </c>
      <c r="N1389" s="2">
        <v>275323</v>
      </c>
      <c r="O1389" s="2">
        <v>2468665</v>
      </c>
      <c r="P1389" s="2">
        <v>199385</v>
      </c>
      <c r="Q1389" s="2">
        <v>250513</v>
      </c>
    </row>
    <row r="1390" spans="1:17" x14ac:dyDescent="0.25">
      <c r="A1390" t="s">
        <v>1392</v>
      </c>
      <c r="B1390" t="s">
        <v>1393</v>
      </c>
      <c r="C1390" s="1">
        <v>41091</v>
      </c>
      <c r="D1390" s="1">
        <v>41455</v>
      </c>
      <c r="E1390" t="s">
        <v>1394</v>
      </c>
      <c r="G1390" t="s">
        <v>353</v>
      </c>
      <c r="H1390" t="s">
        <v>62</v>
      </c>
      <c r="I1390" t="str">
        <f>"43215"</f>
        <v>43215</v>
      </c>
      <c r="J1390" t="s">
        <v>63</v>
      </c>
      <c r="K1390" t="s">
        <v>79</v>
      </c>
      <c r="L1390" s="2">
        <v>3324798</v>
      </c>
      <c r="M1390" s="2">
        <v>519382</v>
      </c>
      <c r="N1390" s="2">
        <v>0</v>
      </c>
      <c r="O1390" s="2">
        <v>401994</v>
      </c>
      <c r="P1390" s="2">
        <v>93013</v>
      </c>
      <c r="Q1390" s="2">
        <v>4793</v>
      </c>
    </row>
    <row r="1391" spans="1:17" x14ac:dyDescent="0.25">
      <c r="A1391" t="s">
        <v>6468</v>
      </c>
      <c r="B1391" t="s">
        <v>6469</v>
      </c>
      <c r="C1391" s="1">
        <v>41275</v>
      </c>
      <c r="D1391" s="1">
        <v>41639</v>
      </c>
      <c r="E1391" t="s">
        <v>6470</v>
      </c>
      <c r="G1391" t="s">
        <v>41</v>
      </c>
      <c r="H1391" t="s">
        <v>42</v>
      </c>
      <c r="I1391" t="str">
        <f>"53202"</f>
        <v>53202</v>
      </c>
      <c r="J1391" t="s">
        <v>22</v>
      </c>
      <c r="K1391" t="s">
        <v>23</v>
      </c>
      <c r="L1391" s="2">
        <v>3319851</v>
      </c>
      <c r="M1391" s="2">
        <v>1083210</v>
      </c>
      <c r="N1391" s="2">
        <v>0</v>
      </c>
      <c r="O1391" s="2">
        <v>248133</v>
      </c>
      <c r="P1391" t="s">
        <v>24</v>
      </c>
      <c r="Q1391" t="s">
        <v>24</v>
      </c>
    </row>
    <row r="1392" spans="1:17" x14ac:dyDescent="0.25">
      <c r="A1392" t="s">
        <v>1657</v>
      </c>
      <c r="B1392" t="s">
        <v>1658</v>
      </c>
      <c r="C1392" s="1">
        <v>41275</v>
      </c>
      <c r="D1392" s="1">
        <v>41639</v>
      </c>
      <c r="E1392" t="s">
        <v>1659</v>
      </c>
      <c r="G1392" t="s">
        <v>77</v>
      </c>
      <c r="H1392" t="s">
        <v>78</v>
      </c>
      <c r="I1392" t="str">
        <f>"40202"</f>
        <v>40202</v>
      </c>
      <c r="J1392" t="s">
        <v>22</v>
      </c>
      <c r="K1392" t="s">
        <v>23</v>
      </c>
      <c r="L1392" s="2">
        <v>3306331</v>
      </c>
      <c r="M1392" s="2">
        <v>900126</v>
      </c>
      <c r="N1392" s="2">
        <v>0</v>
      </c>
      <c r="O1392" s="2">
        <v>207906</v>
      </c>
      <c r="P1392" t="s">
        <v>24</v>
      </c>
      <c r="Q1392" t="s">
        <v>24</v>
      </c>
    </row>
    <row r="1393" spans="1:17" x14ac:dyDescent="0.25">
      <c r="A1393" t="s">
        <v>7082</v>
      </c>
      <c r="B1393" t="s">
        <v>7083</v>
      </c>
      <c r="C1393" s="1">
        <v>41456</v>
      </c>
      <c r="D1393" s="1">
        <v>41820</v>
      </c>
      <c r="E1393" t="s">
        <v>7084</v>
      </c>
      <c r="G1393" t="s">
        <v>1765</v>
      </c>
      <c r="H1393" t="s">
        <v>78</v>
      </c>
      <c r="I1393" t="str">
        <f>"41011"</f>
        <v>41011</v>
      </c>
      <c r="J1393" t="s">
        <v>63</v>
      </c>
      <c r="K1393" t="s">
        <v>79</v>
      </c>
      <c r="L1393" s="2">
        <v>3294172</v>
      </c>
      <c r="M1393" s="2">
        <v>3151238</v>
      </c>
      <c r="N1393" s="2">
        <v>967527</v>
      </c>
      <c r="O1393" s="2">
        <v>1956678</v>
      </c>
      <c r="P1393" s="2">
        <v>181937</v>
      </c>
      <c r="Q1393" s="2">
        <v>37056</v>
      </c>
    </row>
    <row r="1394" spans="1:17" x14ac:dyDescent="0.25">
      <c r="A1394" t="s">
        <v>1055</v>
      </c>
      <c r="B1394" t="s">
        <v>1056</v>
      </c>
      <c r="C1394" s="1">
        <v>40909</v>
      </c>
      <c r="D1394" s="1">
        <v>41274</v>
      </c>
      <c r="E1394" t="s">
        <v>1057</v>
      </c>
      <c r="G1394" t="s">
        <v>1058</v>
      </c>
      <c r="H1394" t="s">
        <v>47</v>
      </c>
      <c r="I1394" t="str">
        <f>"49010"</f>
        <v>49010</v>
      </c>
      <c r="J1394" t="s">
        <v>22</v>
      </c>
      <c r="K1394" t="s">
        <v>30</v>
      </c>
      <c r="L1394" s="2">
        <v>3292749</v>
      </c>
      <c r="M1394" s="2">
        <v>896747</v>
      </c>
      <c r="N1394" s="2">
        <v>0</v>
      </c>
      <c r="O1394" s="2">
        <v>173773</v>
      </c>
      <c r="P1394" t="s">
        <v>24</v>
      </c>
      <c r="Q1394" t="s">
        <v>24</v>
      </c>
    </row>
    <row r="1395" spans="1:17" x14ac:dyDescent="0.25">
      <c r="A1395" t="s">
        <v>5242</v>
      </c>
      <c r="B1395" t="s">
        <v>5243</v>
      </c>
      <c r="C1395" s="1">
        <v>41275</v>
      </c>
      <c r="D1395" s="1">
        <v>41639</v>
      </c>
      <c r="E1395" t="s">
        <v>5244</v>
      </c>
      <c r="G1395" t="s">
        <v>20</v>
      </c>
      <c r="H1395" t="s">
        <v>21</v>
      </c>
      <c r="I1395" t="str">
        <f>"46204"</f>
        <v>46204</v>
      </c>
      <c r="J1395" t="s">
        <v>22</v>
      </c>
      <c r="K1395" t="s">
        <v>23</v>
      </c>
      <c r="L1395" s="2">
        <v>3290526</v>
      </c>
      <c r="M1395" s="2">
        <v>3648493</v>
      </c>
      <c r="N1395" s="2">
        <v>0</v>
      </c>
      <c r="O1395" s="2">
        <v>398210</v>
      </c>
      <c r="P1395" t="s">
        <v>24</v>
      </c>
      <c r="Q1395" t="s">
        <v>24</v>
      </c>
    </row>
    <row r="1396" spans="1:17" x14ac:dyDescent="0.25">
      <c r="A1396" t="s">
        <v>5056</v>
      </c>
      <c r="B1396" t="s">
        <v>5057</v>
      </c>
      <c r="C1396" s="1">
        <v>41275</v>
      </c>
      <c r="D1396" s="1">
        <v>41639</v>
      </c>
      <c r="E1396" t="s">
        <v>5058</v>
      </c>
      <c r="G1396" t="s">
        <v>776</v>
      </c>
      <c r="H1396" t="s">
        <v>62</v>
      </c>
      <c r="I1396" t="str">
        <f>"44040"</f>
        <v>44040</v>
      </c>
      <c r="J1396" t="s">
        <v>22</v>
      </c>
      <c r="K1396" t="s">
        <v>23</v>
      </c>
      <c r="L1396" s="2">
        <v>3286507</v>
      </c>
      <c r="M1396" s="2">
        <v>556225</v>
      </c>
      <c r="N1396" s="2">
        <v>0</v>
      </c>
      <c r="O1396" s="2">
        <v>673132</v>
      </c>
      <c r="P1396" t="s">
        <v>24</v>
      </c>
      <c r="Q1396" t="s">
        <v>24</v>
      </c>
    </row>
    <row r="1397" spans="1:17" x14ac:dyDescent="0.25">
      <c r="A1397" t="s">
        <v>5149</v>
      </c>
      <c r="B1397" t="s">
        <v>5150</v>
      </c>
      <c r="C1397" s="1">
        <v>41275</v>
      </c>
      <c r="D1397" s="1">
        <v>41639</v>
      </c>
      <c r="E1397" t="s">
        <v>5151</v>
      </c>
      <c r="G1397" t="s">
        <v>5152</v>
      </c>
      <c r="H1397" t="s">
        <v>21</v>
      </c>
      <c r="I1397" t="str">
        <f>"46075"</f>
        <v>46075</v>
      </c>
      <c r="J1397" t="s">
        <v>22</v>
      </c>
      <c r="K1397" t="s">
        <v>23</v>
      </c>
      <c r="L1397" s="2">
        <v>3285656</v>
      </c>
      <c r="M1397" s="2">
        <v>1769217</v>
      </c>
      <c r="N1397" s="2">
        <v>0</v>
      </c>
      <c r="O1397" s="2">
        <v>550322</v>
      </c>
      <c r="P1397" t="s">
        <v>24</v>
      </c>
      <c r="Q1397" t="s">
        <v>24</v>
      </c>
    </row>
    <row r="1398" spans="1:17" x14ac:dyDescent="0.25">
      <c r="A1398" t="s">
        <v>2351</v>
      </c>
      <c r="B1398" t="s">
        <v>2352</v>
      </c>
      <c r="C1398" s="1">
        <v>41275</v>
      </c>
      <c r="D1398" s="1">
        <v>41639</v>
      </c>
      <c r="E1398" t="s">
        <v>2353</v>
      </c>
      <c r="G1398" t="s">
        <v>2354</v>
      </c>
      <c r="H1398" t="s">
        <v>42</v>
      </c>
      <c r="I1398" t="str">
        <f>"53589"</f>
        <v>53589</v>
      </c>
      <c r="J1398" t="s">
        <v>22</v>
      </c>
      <c r="K1398" t="s">
        <v>23</v>
      </c>
      <c r="L1398" s="2">
        <v>3284573</v>
      </c>
      <c r="M1398" s="2">
        <v>982750</v>
      </c>
      <c r="N1398" s="2">
        <v>0</v>
      </c>
      <c r="O1398" s="2">
        <v>149386</v>
      </c>
      <c r="P1398" t="s">
        <v>24</v>
      </c>
      <c r="Q1398" t="s">
        <v>24</v>
      </c>
    </row>
    <row r="1399" spans="1:17" x14ac:dyDescent="0.25">
      <c r="A1399" t="s">
        <v>6853</v>
      </c>
      <c r="B1399" t="s">
        <v>6854</v>
      </c>
      <c r="C1399" s="1">
        <v>41275</v>
      </c>
      <c r="D1399" s="1">
        <v>41639</v>
      </c>
      <c r="E1399" t="s">
        <v>6855</v>
      </c>
      <c r="G1399" t="s">
        <v>1792</v>
      </c>
      <c r="H1399" t="s">
        <v>47</v>
      </c>
      <c r="I1399" t="str">
        <f>"48304"</f>
        <v>48304</v>
      </c>
      <c r="J1399" t="s">
        <v>22</v>
      </c>
      <c r="K1399" t="s">
        <v>30</v>
      </c>
      <c r="L1399" s="2">
        <v>3284360</v>
      </c>
      <c r="M1399" s="2">
        <v>1464270</v>
      </c>
      <c r="N1399" s="2">
        <v>0</v>
      </c>
      <c r="O1399" s="2">
        <v>351742</v>
      </c>
      <c r="P1399" t="s">
        <v>24</v>
      </c>
      <c r="Q1399" t="s">
        <v>24</v>
      </c>
    </row>
    <row r="1400" spans="1:17" x14ac:dyDescent="0.25">
      <c r="A1400" t="s">
        <v>321</v>
      </c>
      <c r="B1400" t="s">
        <v>322</v>
      </c>
      <c r="C1400" s="1">
        <v>41275</v>
      </c>
      <c r="D1400" s="1">
        <v>41639</v>
      </c>
      <c r="E1400" t="s">
        <v>323</v>
      </c>
      <c r="G1400" t="s">
        <v>324</v>
      </c>
      <c r="H1400" t="s">
        <v>62</v>
      </c>
      <c r="I1400" t="str">
        <f>"44857"</f>
        <v>44857</v>
      </c>
      <c r="J1400" t="s">
        <v>22</v>
      </c>
      <c r="K1400" t="s">
        <v>23</v>
      </c>
      <c r="L1400" s="2">
        <v>3282235</v>
      </c>
      <c r="M1400" s="2">
        <v>1000082</v>
      </c>
      <c r="N1400" s="2">
        <v>0</v>
      </c>
      <c r="O1400" s="2">
        <v>170842</v>
      </c>
      <c r="P1400" t="s">
        <v>24</v>
      </c>
      <c r="Q1400" t="s">
        <v>24</v>
      </c>
    </row>
    <row r="1401" spans="1:17" x14ac:dyDescent="0.25">
      <c r="A1401" t="s">
        <v>3451</v>
      </c>
      <c r="B1401" t="s">
        <v>3452</v>
      </c>
      <c r="C1401" s="1">
        <v>41275</v>
      </c>
      <c r="D1401" s="1">
        <v>41639</v>
      </c>
      <c r="E1401" t="s">
        <v>3453</v>
      </c>
      <c r="G1401" t="s">
        <v>3454</v>
      </c>
      <c r="H1401" t="s">
        <v>29</v>
      </c>
      <c r="I1401" t="str">
        <f>"61073"</f>
        <v>61073</v>
      </c>
      <c r="J1401" t="s">
        <v>22</v>
      </c>
      <c r="K1401" t="s">
        <v>30</v>
      </c>
      <c r="L1401" s="2">
        <v>3279227</v>
      </c>
      <c r="M1401" s="2">
        <v>894701</v>
      </c>
      <c r="N1401" s="2">
        <v>0</v>
      </c>
      <c r="O1401" s="2">
        <v>129485</v>
      </c>
      <c r="P1401" t="s">
        <v>24</v>
      </c>
      <c r="Q1401" t="s">
        <v>24</v>
      </c>
    </row>
    <row r="1402" spans="1:17" x14ac:dyDescent="0.25">
      <c r="A1402" t="s">
        <v>4052</v>
      </c>
      <c r="B1402" t="s">
        <v>4053</v>
      </c>
      <c r="C1402" s="1">
        <v>41275</v>
      </c>
      <c r="D1402" s="1">
        <v>41639</v>
      </c>
      <c r="E1402" t="s">
        <v>4054</v>
      </c>
      <c r="G1402" t="s">
        <v>4055</v>
      </c>
      <c r="H1402" t="s">
        <v>29</v>
      </c>
      <c r="I1402" t="str">
        <f>"60185"</f>
        <v>60185</v>
      </c>
      <c r="J1402" t="s">
        <v>22</v>
      </c>
      <c r="K1402" t="s">
        <v>23</v>
      </c>
      <c r="L1402" s="2">
        <v>3277953</v>
      </c>
      <c r="M1402" s="2">
        <v>1299493</v>
      </c>
      <c r="N1402" s="2">
        <v>0</v>
      </c>
      <c r="O1402" s="2">
        <v>387703</v>
      </c>
      <c r="P1402" t="s">
        <v>24</v>
      </c>
      <c r="Q1402" t="s">
        <v>24</v>
      </c>
    </row>
    <row r="1403" spans="1:17" x14ac:dyDescent="0.25">
      <c r="A1403" t="s">
        <v>4513</v>
      </c>
      <c r="B1403" t="s">
        <v>4514</v>
      </c>
      <c r="C1403" s="1">
        <v>40909</v>
      </c>
      <c r="D1403" s="1">
        <v>41274</v>
      </c>
      <c r="E1403" t="s">
        <v>4515</v>
      </c>
      <c r="G1403" t="s">
        <v>4516</v>
      </c>
      <c r="H1403" t="s">
        <v>29</v>
      </c>
      <c r="I1403" t="str">
        <f>"60142"</f>
        <v>60142</v>
      </c>
      <c r="J1403" t="s">
        <v>22</v>
      </c>
      <c r="K1403" t="s">
        <v>91</v>
      </c>
      <c r="L1403" s="2">
        <v>3269083</v>
      </c>
      <c r="M1403" s="2">
        <v>1415057</v>
      </c>
      <c r="N1403" s="2">
        <v>0</v>
      </c>
      <c r="O1403" s="2">
        <v>327652</v>
      </c>
      <c r="P1403" t="s">
        <v>24</v>
      </c>
      <c r="Q1403" t="s">
        <v>24</v>
      </c>
    </row>
    <row r="1404" spans="1:17" x14ac:dyDescent="0.25">
      <c r="A1404" t="s">
        <v>1108</v>
      </c>
      <c r="B1404" t="s">
        <v>1109</v>
      </c>
      <c r="C1404" s="1">
        <v>41275</v>
      </c>
      <c r="D1404" s="1">
        <v>41639</v>
      </c>
      <c r="E1404" t="s">
        <v>1110</v>
      </c>
      <c r="G1404" t="s">
        <v>1111</v>
      </c>
      <c r="H1404" t="s">
        <v>47</v>
      </c>
      <c r="I1404" t="str">
        <f>"48301"</f>
        <v>48301</v>
      </c>
      <c r="J1404" t="s">
        <v>22</v>
      </c>
      <c r="K1404" t="s">
        <v>30</v>
      </c>
      <c r="L1404" s="2">
        <v>3267456</v>
      </c>
      <c r="M1404" s="2">
        <v>1551714</v>
      </c>
      <c r="N1404" s="2">
        <v>0</v>
      </c>
      <c r="O1404" s="2">
        <v>154055</v>
      </c>
      <c r="P1404" t="s">
        <v>24</v>
      </c>
      <c r="Q1404" t="s">
        <v>24</v>
      </c>
    </row>
    <row r="1405" spans="1:17" x14ac:dyDescent="0.25">
      <c r="A1405" t="s">
        <v>4681</v>
      </c>
      <c r="B1405" t="s">
        <v>4682</v>
      </c>
      <c r="C1405" s="1">
        <v>40909</v>
      </c>
      <c r="D1405" s="1">
        <v>41274</v>
      </c>
      <c r="E1405" t="s">
        <v>4683</v>
      </c>
      <c r="G1405" t="s">
        <v>4684</v>
      </c>
      <c r="H1405" t="s">
        <v>29</v>
      </c>
      <c r="I1405" t="str">
        <f>"60043"</f>
        <v>60043</v>
      </c>
      <c r="J1405" t="s">
        <v>22</v>
      </c>
      <c r="K1405" t="s">
        <v>23</v>
      </c>
      <c r="L1405" s="2">
        <v>3263463</v>
      </c>
      <c r="M1405" s="2">
        <v>1040014</v>
      </c>
      <c r="N1405" s="2">
        <v>0</v>
      </c>
      <c r="O1405" s="2">
        <v>304209</v>
      </c>
      <c r="P1405" t="s">
        <v>24</v>
      </c>
      <c r="Q1405" t="s">
        <v>24</v>
      </c>
    </row>
    <row r="1406" spans="1:17" x14ac:dyDescent="0.25">
      <c r="A1406" t="s">
        <v>3944</v>
      </c>
      <c r="B1406" t="s">
        <v>3945</v>
      </c>
      <c r="C1406" s="1">
        <v>41275</v>
      </c>
      <c r="D1406" s="1">
        <v>41639</v>
      </c>
      <c r="E1406" t="s">
        <v>40</v>
      </c>
      <c r="G1406" t="s">
        <v>41</v>
      </c>
      <c r="H1406" t="s">
        <v>42</v>
      </c>
      <c r="I1406" t="str">
        <f>"53201"</f>
        <v>53201</v>
      </c>
      <c r="J1406" t="s">
        <v>22</v>
      </c>
      <c r="K1406" t="s">
        <v>30</v>
      </c>
      <c r="L1406" s="2">
        <v>3257745</v>
      </c>
      <c r="M1406" s="2">
        <v>3007441</v>
      </c>
      <c r="N1406" s="2">
        <v>0</v>
      </c>
      <c r="O1406" s="2">
        <v>174228</v>
      </c>
      <c r="P1406" t="s">
        <v>24</v>
      </c>
      <c r="Q1406" t="s">
        <v>24</v>
      </c>
    </row>
    <row r="1407" spans="1:17" x14ac:dyDescent="0.25">
      <c r="A1407" t="s">
        <v>2421</v>
      </c>
      <c r="B1407" t="s">
        <v>2422</v>
      </c>
      <c r="C1407" s="1">
        <v>41275</v>
      </c>
      <c r="D1407" s="1">
        <v>41639</v>
      </c>
      <c r="E1407" t="s">
        <v>2423</v>
      </c>
      <c r="G1407" t="s">
        <v>2424</v>
      </c>
      <c r="H1407" t="s">
        <v>42</v>
      </c>
      <c r="I1407" t="str">
        <f>"53227"</f>
        <v>53227</v>
      </c>
      <c r="J1407" t="s">
        <v>22</v>
      </c>
      <c r="K1407" t="s">
        <v>30</v>
      </c>
      <c r="L1407" s="2">
        <v>3240510</v>
      </c>
      <c r="M1407" s="2">
        <v>991688</v>
      </c>
      <c r="N1407" s="2">
        <v>0</v>
      </c>
      <c r="O1407" s="2">
        <v>153682</v>
      </c>
      <c r="P1407" t="s">
        <v>24</v>
      </c>
      <c r="Q1407" t="s">
        <v>24</v>
      </c>
    </row>
    <row r="1408" spans="1:17" x14ac:dyDescent="0.25">
      <c r="A1408" t="s">
        <v>1796</v>
      </c>
      <c r="B1408" t="s">
        <v>1797</v>
      </c>
      <c r="C1408" s="1">
        <v>41244</v>
      </c>
      <c r="D1408" s="1">
        <v>41608</v>
      </c>
      <c r="E1408" t="s">
        <v>1798</v>
      </c>
      <c r="G1408" t="s">
        <v>768</v>
      </c>
      <c r="H1408" t="s">
        <v>62</v>
      </c>
      <c r="I1408" t="str">
        <f>"44122"</f>
        <v>44122</v>
      </c>
      <c r="J1408" t="s">
        <v>22</v>
      </c>
      <c r="K1408" t="s">
        <v>23</v>
      </c>
      <c r="L1408" s="2">
        <v>3228158</v>
      </c>
      <c r="M1408" s="2">
        <v>2468568</v>
      </c>
      <c r="N1408" s="2">
        <v>0</v>
      </c>
      <c r="O1408" s="2">
        <v>322287</v>
      </c>
      <c r="P1408" t="s">
        <v>24</v>
      </c>
      <c r="Q1408" t="s">
        <v>24</v>
      </c>
    </row>
    <row r="1409" spans="1:17" x14ac:dyDescent="0.25">
      <c r="A1409" t="s">
        <v>1864</v>
      </c>
      <c r="B1409" t="s">
        <v>1865</v>
      </c>
      <c r="C1409" s="1">
        <v>41275</v>
      </c>
      <c r="D1409" s="1">
        <v>41639</v>
      </c>
      <c r="E1409" t="s">
        <v>1866</v>
      </c>
      <c r="F1409" t="s">
        <v>1867</v>
      </c>
      <c r="G1409" t="s">
        <v>28</v>
      </c>
      <c r="H1409" t="s">
        <v>29</v>
      </c>
      <c r="I1409" t="str">
        <f>"60601"</f>
        <v>60601</v>
      </c>
      <c r="J1409" t="s">
        <v>63</v>
      </c>
      <c r="K1409" t="s">
        <v>1868</v>
      </c>
      <c r="L1409" s="2">
        <v>3221312</v>
      </c>
      <c r="M1409" s="2">
        <v>2900007</v>
      </c>
      <c r="N1409" s="2">
        <v>422462</v>
      </c>
      <c r="O1409" s="2">
        <v>2538569</v>
      </c>
      <c r="P1409" s="2">
        <v>466884</v>
      </c>
      <c r="Q1409" s="2">
        <v>339074</v>
      </c>
    </row>
    <row r="1410" spans="1:17" x14ac:dyDescent="0.25">
      <c r="A1410" t="s">
        <v>1876</v>
      </c>
      <c r="B1410" t="s">
        <v>1877</v>
      </c>
      <c r="C1410" s="1">
        <v>41456</v>
      </c>
      <c r="D1410" s="1">
        <v>41820</v>
      </c>
      <c r="E1410" t="s">
        <v>1878</v>
      </c>
      <c r="G1410" t="s">
        <v>28</v>
      </c>
      <c r="H1410" t="s">
        <v>29</v>
      </c>
      <c r="I1410" t="str">
        <f>"60606"</f>
        <v>60606</v>
      </c>
      <c r="J1410" t="s">
        <v>22</v>
      </c>
      <c r="K1410" t="s">
        <v>30</v>
      </c>
      <c r="L1410" s="2">
        <v>3218139</v>
      </c>
      <c r="M1410" s="2">
        <v>333329</v>
      </c>
      <c r="N1410" s="2">
        <v>0</v>
      </c>
      <c r="O1410" s="2">
        <v>168504</v>
      </c>
      <c r="P1410" t="s">
        <v>24</v>
      </c>
      <c r="Q1410" t="s">
        <v>24</v>
      </c>
    </row>
    <row r="1411" spans="1:17" x14ac:dyDescent="0.25">
      <c r="A1411" t="s">
        <v>4762</v>
      </c>
      <c r="B1411" t="s">
        <v>4763</v>
      </c>
      <c r="C1411" s="1">
        <v>41275</v>
      </c>
      <c r="D1411" s="1">
        <v>41639</v>
      </c>
      <c r="E1411" t="s">
        <v>4764</v>
      </c>
      <c r="G1411" t="s">
        <v>4765</v>
      </c>
      <c r="H1411" t="s">
        <v>47</v>
      </c>
      <c r="I1411" t="str">
        <f>"48312"</f>
        <v>48312</v>
      </c>
      <c r="J1411" t="s">
        <v>22</v>
      </c>
      <c r="K1411" t="s">
        <v>30</v>
      </c>
      <c r="L1411" s="2">
        <v>3216518</v>
      </c>
      <c r="M1411" s="2">
        <v>426494</v>
      </c>
      <c r="N1411" s="2">
        <v>0</v>
      </c>
      <c r="O1411" s="2">
        <v>249974</v>
      </c>
      <c r="P1411" t="s">
        <v>24</v>
      </c>
      <c r="Q1411" t="s">
        <v>24</v>
      </c>
    </row>
    <row r="1412" spans="1:17" x14ac:dyDescent="0.25">
      <c r="A1412" t="s">
        <v>4630</v>
      </c>
      <c r="B1412" t="s">
        <v>4631</v>
      </c>
      <c r="C1412" s="1">
        <v>41275</v>
      </c>
      <c r="D1412" s="1">
        <v>41639</v>
      </c>
      <c r="E1412" t="s">
        <v>4632</v>
      </c>
      <c r="G1412" t="s">
        <v>1757</v>
      </c>
      <c r="H1412" t="s">
        <v>47</v>
      </c>
      <c r="I1412" t="str">
        <f>"49007"</f>
        <v>49007</v>
      </c>
      <c r="J1412" t="s">
        <v>22</v>
      </c>
      <c r="K1412" t="s">
        <v>23</v>
      </c>
      <c r="L1412" s="2">
        <v>3206020</v>
      </c>
      <c r="M1412" s="2">
        <v>50483</v>
      </c>
      <c r="N1412" s="2">
        <v>0</v>
      </c>
      <c r="O1412" s="2">
        <v>126458</v>
      </c>
      <c r="P1412" t="s">
        <v>24</v>
      </c>
      <c r="Q1412" t="s">
        <v>24</v>
      </c>
    </row>
    <row r="1413" spans="1:17" x14ac:dyDescent="0.25">
      <c r="A1413" t="s">
        <v>267</v>
      </c>
      <c r="B1413" t="s">
        <v>268</v>
      </c>
      <c r="C1413" s="1">
        <v>41275</v>
      </c>
      <c r="D1413" s="1">
        <v>41639</v>
      </c>
      <c r="E1413" t="s">
        <v>269</v>
      </c>
      <c r="F1413" t="s">
        <v>270</v>
      </c>
      <c r="G1413" t="s">
        <v>41</v>
      </c>
      <c r="H1413" t="s">
        <v>42</v>
      </c>
      <c r="I1413" t="str">
        <f>"53202"</f>
        <v>53202</v>
      </c>
      <c r="J1413" t="s">
        <v>63</v>
      </c>
      <c r="K1413" t="s">
        <v>79</v>
      </c>
      <c r="L1413" s="2">
        <v>3205803</v>
      </c>
      <c r="M1413" s="2">
        <v>281656</v>
      </c>
      <c r="N1413" s="2">
        <v>161779</v>
      </c>
      <c r="O1413" s="2">
        <v>433801</v>
      </c>
      <c r="P1413" s="2">
        <v>173389</v>
      </c>
      <c r="Q1413" s="2">
        <v>91908</v>
      </c>
    </row>
    <row r="1414" spans="1:17" x14ac:dyDescent="0.25">
      <c r="A1414" t="s">
        <v>1874</v>
      </c>
      <c r="B1414" t="s">
        <v>1875</v>
      </c>
      <c r="C1414" s="1">
        <v>41484</v>
      </c>
      <c r="D1414" s="1">
        <v>41639</v>
      </c>
      <c r="E1414" t="s">
        <v>489</v>
      </c>
      <c r="G1414" t="s">
        <v>337</v>
      </c>
      <c r="H1414" t="s">
        <v>62</v>
      </c>
      <c r="I1414" t="str">
        <f>"44101"</f>
        <v>44101</v>
      </c>
      <c r="J1414" t="s">
        <v>22</v>
      </c>
      <c r="K1414" t="s">
        <v>23</v>
      </c>
      <c r="L1414" s="2">
        <v>3202651</v>
      </c>
      <c r="M1414" s="2">
        <v>614245</v>
      </c>
      <c r="N1414" s="2">
        <v>0</v>
      </c>
      <c r="O1414" s="2">
        <v>172172</v>
      </c>
      <c r="P1414" t="s">
        <v>24</v>
      </c>
      <c r="Q1414" t="s">
        <v>24</v>
      </c>
    </row>
    <row r="1415" spans="1:17" x14ac:dyDescent="0.25">
      <c r="A1415" t="s">
        <v>3729</v>
      </c>
      <c r="B1415" t="s">
        <v>3730</v>
      </c>
      <c r="C1415" s="1">
        <v>41275</v>
      </c>
      <c r="D1415" s="1">
        <v>41639</v>
      </c>
      <c r="E1415" t="s">
        <v>3731</v>
      </c>
      <c r="G1415" t="s">
        <v>1792</v>
      </c>
      <c r="H1415" t="s">
        <v>47</v>
      </c>
      <c r="I1415" t="str">
        <f>"48302"</f>
        <v>48302</v>
      </c>
      <c r="J1415" t="s">
        <v>22</v>
      </c>
      <c r="K1415" t="s">
        <v>91</v>
      </c>
      <c r="L1415" s="2">
        <v>3202428</v>
      </c>
      <c r="M1415" s="2">
        <v>3212749</v>
      </c>
      <c r="N1415" s="2">
        <v>0</v>
      </c>
      <c r="O1415" s="2">
        <v>2464289</v>
      </c>
      <c r="P1415" t="s">
        <v>24</v>
      </c>
      <c r="Q1415" t="s">
        <v>24</v>
      </c>
    </row>
    <row r="1416" spans="1:17" x14ac:dyDescent="0.25">
      <c r="A1416" t="s">
        <v>652</v>
      </c>
      <c r="B1416" t="s">
        <v>653</v>
      </c>
      <c r="C1416" s="1">
        <v>41275</v>
      </c>
      <c r="D1416" s="1">
        <v>41639</v>
      </c>
      <c r="E1416" t="s">
        <v>654</v>
      </c>
      <c r="G1416" t="s">
        <v>655</v>
      </c>
      <c r="H1416" t="s">
        <v>29</v>
      </c>
      <c r="I1416" t="str">
        <f>"60559"</f>
        <v>60559</v>
      </c>
      <c r="J1416" t="s">
        <v>22</v>
      </c>
      <c r="K1416" t="s">
        <v>30</v>
      </c>
      <c r="L1416" s="2">
        <v>3199617</v>
      </c>
      <c r="M1416" s="2">
        <v>700321</v>
      </c>
      <c r="N1416" s="2">
        <v>0</v>
      </c>
      <c r="O1416" t="s">
        <v>24</v>
      </c>
      <c r="P1416" t="s">
        <v>24</v>
      </c>
      <c r="Q1416" t="s">
        <v>24</v>
      </c>
    </row>
    <row r="1417" spans="1:17" x14ac:dyDescent="0.25">
      <c r="A1417" t="s">
        <v>4013</v>
      </c>
      <c r="B1417" t="s">
        <v>4014</v>
      </c>
      <c r="C1417" s="1">
        <v>41275</v>
      </c>
      <c r="D1417" s="1">
        <v>41639</v>
      </c>
      <c r="E1417" t="s">
        <v>4015</v>
      </c>
      <c r="G1417" t="s">
        <v>1560</v>
      </c>
      <c r="H1417" t="s">
        <v>21</v>
      </c>
      <c r="I1417" t="str">
        <f>"46680"</f>
        <v>46680</v>
      </c>
      <c r="J1417" t="s">
        <v>22</v>
      </c>
      <c r="K1417" t="s">
        <v>23</v>
      </c>
      <c r="L1417" s="2">
        <v>3198506</v>
      </c>
      <c r="M1417" s="2">
        <v>1443219</v>
      </c>
      <c r="N1417" s="2">
        <v>0</v>
      </c>
      <c r="O1417" s="2">
        <v>139034</v>
      </c>
      <c r="P1417" t="s">
        <v>24</v>
      </c>
      <c r="Q1417" t="s">
        <v>24</v>
      </c>
    </row>
    <row r="1418" spans="1:17" x14ac:dyDescent="0.25">
      <c r="A1418" t="s">
        <v>1452</v>
      </c>
      <c r="B1418" t="s">
        <v>1453</v>
      </c>
      <c r="C1418" s="1">
        <v>41091</v>
      </c>
      <c r="D1418" s="1">
        <v>41455</v>
      </c>
      <c r="E1418" t="s">
        <v>1454</v>
      </c>
      <c r="G1418" t="s">
        <v>167</v>
      </c>
      <c r="H1418" t="s">
        <v>62</v>
      </c>
      <c r="I1418" t="str">
        <f>"45202"</f>
        <v>45202</v>
      </c>
      <c r="J1418" t="s">
        <v>22</v>
      </c>
      <c r="K1418" t="s">
        <v>30</v>
      </c>
      <c r="L1418" s="2">
        <v>3193842</v>
      </c>
      <c r="M1418" s="2">
        <v>1821053</v>
      </c>
      <c r="N1418" s="2">
        <v>0</v>
      </c>
      <c r="O1418" s="2">
        <v>36289</v>
      </c>
      <c r="P1418" t="s">
        <v>24</v>
      </c>
      <c r="Q1418" t="s">
        <v>24</v>
      </c>
    </row>
    <row r="1419" spans="1:17" x14ac:dyDescent="0.25">
      <c r="A1419" t="s">
        <v>3553</v>
      </c>
      <c r="B1419" t="s">
        <v>3554</v>
      </c>
      <c r="C1419" s="1">
        <v>41275</v>
      </c>
      <c r="D1419" s="1">
        <v>41639</v>
      </c>
      <c r="E1419" t="s">
        <v>3555</v>
      </c>
      <c r="G1419" t="s">
        <v>783</v>
      </c>
      <c r="H1419" t="s">
        <v>21</v>
      </c>
      <c r="I1419" t="str">
        <f>"46033"</f>
        <v>46033</v>
      </c>
      <c r="J1419" t="s">
        <v>22</v>
      </c>
      <c r="K1419" t="s">
        <v>23</v>
      </c>
      <c r="L1419" s="2">
        <v>3193145</v>
      </c>
      <c r="M1419" s="2">
        <v>1249054</v>
      </c>
      <c r="N1419" s="2">
        <v>0</v>
      </c>
      <c r="O1419" s="2">
        <v>137437</v>
      </c>
      <c r="P1419" t="s">
        <v>24</v>
      </c>
      <c r="Q1419" t="s">
        <v>24</v>
      </c>
    </row>
    <row r="1420" spans="1:17" x14ac:dyDescent="0.25">
      <c r="A1420" t="s">
        <v>1039</v>
      </c>
      <c r="B1420" t="s">
        <v>1040</v>
      </c>
      <c r="C1420" s="1">
        <v>41275</v>
      </c>
      <c r="D1420" s="1">
        <v>41639</v>
      </c>
      <c r="E1420" t="s">
        <v>1041</v>
      </c>
      <c r="G1420" t="s">
        <v>1042</v>
      </c>
      <c r="H1420" t="s">
        <v>47</v>
      </c>
      <c r="I1420" t="str">
        <f>"48304"</f>
        <v>48304</v>
      </c>
      <c r="J1420" t="s">
        <v>22</v>
      </c>
      <c r="K1420" t="s">
        <v>30</v>
      </c>
      <c r="L1420" s="2">
        <v>3191624</v>
      </c>
      <c r="M1420" s="2">
        <v>66407</v>
      </c>
      <c r="N1420" s="2">
        <v>0</v>
      </c>
      <c r="O1420" s="2">
        <v>152415</v>
      </c>
      <c r="P1420" t="s">
        <v>24</v>
      </c>
      <c r="Q1420" t="s">
        <v>24</v>
      </c>
    </row>
    <row r="1421" spans="1:17" x14ac:dyDescent="0.25">
      <c r="A1421" t="s">
        <v>1353</v>
      </c>
      <c r="B1421" t="s">
        <v>1354</v>
      </c>
      <c r="C1421" s="1">
        <v>41091</v>
      </c>
      <c r="D1421" s="1">
        <v>41455</v>
      </c>
      <c r="E1421" t="s">
        <v>1355</v>
      </c>
      <c r="G1421" t="s">
        <v>1352</v>
      </c>
      <c r="H1421" t="s">
        <v>21</v>
      </c>
      <c r="I1421" t="str">
        <f>"47150"</f>
        <v>47150</v>
      </c>
      <c r="J1421" t="s">
        <v>63</v>
      </c>
      <c r="K1421" t="s">
        <v>79</v>
      </c>
      <c r="L1421" s="2">
        <v>3173385</v>
      </c>
      <c r="M1421" s="2">
        <v>339395</v>
      </c>
      <c r="N1421" s="2">
        <v>1038</v>
      </c>
      <c r="O1421" s="2">
        <v>96745</v>
      </c>
      <c r="P1421" s="2">
        <v>21745</v>
      </c>
      <c r="Q1421" s="2">
        <v>0</v>
      </c>
    </row>
    <row r="1422" spans="1:17" x14ac:dyDescent="0.25">
      <c r="A1422" t="s">
        <v>7039</v>
      </c>
      <c r="B1422" t="s">
        <v>7040</v>
      </c>
      <c r="C1422" s="1">
        <v>41275</v>
      </c>
      <c r="D1422" s="1">
        <v>41639</v>
      </c>
      <c r="E1422" t="s">
        <v>7041</v>
      </c>
      <c r="G1422" t="s">
        <v>202</v>
      </c>
      <c r="H1422" t="s">
        <v>62</v>
      </c>
      <c r="I1422" t="str">
        <f>"43016"</f>
        <v>43016</v>
      </c>
      <c r="J1422" t="s">
        <v>22</v>
      </c>
      <c r="K1422" t="s">
        <v>23</v>
      </c>
      <c r="L1422" s="2">
        <v>3172661</v>
      </c>
      <c r="M1422" s="2">
        <v>1934752</v>
      </c>
      <c r="N1422" s="2">
        <v>0</v>
      </c>
      <c r="O1422" s="2">
        <v>219878</v>
      </c>
      <c r="P1422" t="s">
        <v>24</v>
      </c>
      <c r="Q1422" t="s">
        <v>24</v>
      </c>
    </row>
    <row r="1423" spans="1:17" x14ac:dyDescent="0.25">
      <c r="A1423" t="s">
        <v>3665</v>
      </c>
      <c r="B1423" t="s">
        <v>3666</v>
      </c>
      <c r="C1423" s="1">
        <v>40909</v>
      </c>
      <c r="D1423" s="1">
        <v>41274</v>
      </c>
      <c r="E1423" t="s">
        <v>3667</v>
      </c>
      <c r="G1423" t="s">
        <v>20</v>
      </c>
      <c r="H1423" t="s">
        <v>21</v>
      </c>
      <c r="I1423" t="str">
        <f>"46204"</f>
        <v>46204</v>
      </c>
      <c r="J1423" t="s">
        <v>22</v>
      </c>
      <c r="K1423" t="s">
        <v>30</v>
      </c>
      <c r="L1423" s="2">
        <v>3165107</v>
      </c>
      <c r="M1423" s="2">
        <v>1006938</v>
      </c>
      <c r="N1423" s="2">
        <v>0</v>
      </c>
      <c r="O1423" s="2">
        <v>148643</v>
      </c>
      <c r="P1423" t="s">
        <v>24</v>
      </c>
      <c r="Q1423" t="s">
        <v>24</v>
      </c>
    </row>
    <row r="1424" spans="1:17" x14ac:dyDescent="0.25">
      <c r="A1424" t="s">
        <v>7147</v>
      </c>
      <c r="B1424" t="s">
        <v>7148</v>
      </c>
      <c r="C1424" s="1">
        <v>41275</v>
      </c>
      <c r="D1424" s="1">
        <v>41639</v>
      </c>
      <c r="E1424" t="s">
        <v>7149</v>
      </c>
      <c r="G1424" t="s">
        <v>41</v>
      </c>
      <c r="H1424" t="s">
        <v>42</v>
      </c>
      <c r="I1424" t="str">
        <f>"53217"</f>
        <v>53217</v>
      </c>
      <c r="J1424" t="s">
        <v>22</v>
      </c>
      <c r="K1424" t="s">
        <v>30</v>
      </c>
      <c r="L1424" s="2">
        <v>3162378</v>
      </c>
      <c r="M1424" s="2">
        <v>1247176</v>
      </c>
      <c r="N1424" s="2">
        <v>0</v>
      </c>
      <c r="O1424" s="2">
        <v>211631</v>
      </c>
      <c r="P1424" t="s">
        <v>24</v>
      </c>
      <c r="Q1424" t="s">
        <v>24</v>
      </c>
    </row>
    <row r="1425" spans="1:17" x14ac:dyDescent="0.25">
      <c r="A1425" t="s">
        <v>3116</v>
      </c>
      <c r="B1425" t="s">
        <v>3117</v>
      </c>
      <c r="C1425" s="1">
        <v>41275</v>
      </c>
      <c r="D1425" s="1">
        <v>41639</v>
      </c>
      <c r="E1425" t="s">
        <v>3118</v>
      </c>
      <c r="G1425" t="s">
        <v>3119</v>
      </c>
      <c r="H1425" t="s">
        <v>62</v>
      </c>
      <c r="I1425" t="str">
        <f>"45802"</f>
        <v>45802</v>
      </c>
      <c r="J1425" t="s">
        <v>22</v>
      </c>
      <c r="K1425" t="s">
        <v>23</v>
      </c>
      <c r="L1425" s="2">
        <v>3155235</v>
      </c>
      <c r="M1425" s="2">
        <v>717706</v>
      </c>
      <c r="N1425" s="2">
        <v>0</v>
      </c>
      <c r="O1425" s="2">
        <v>245889</v>
      </c>
      <c r="P1425" t="s">
        <v>24</v>
      </c>
      <c r="Q1425" t="s">
        <v>24</v>
      </c>
    </row>
    <row r="1426" spans="1:17" x14ac:dyDescent="0.25">
      <c r="A1426" t="s">
        <v>1467</v>
      </c>
      <c r="B1426" t="s">
        <v>1468</v>
      </c>
      <c r="E1426" t="s">
        <v>1469</v>
      </c>
      <c r="G1426" t="s">
        <v>1470</v>
      </c>
      <c r="H1426" t="s">
        <v>78</v>
      </c>
      <c r="I1426" t="str">
        <f>"41071"</f>
        <v>41071</v>
      </c>
      <c r="J1426" t="s">
        <v>22</v>
      </c>
      <c r="K1426" t="s">
        <v>23</v>
      </c>
      <c r="L1426" s="2">
        <v>3154460</v>
      </c>
      <c r="M1426" s="2">
        <v>793459</v>
      </c>
      <c r="N1426" s="2">
        <v>0</v>
      </c>
      <c r="O1426" t="s">
        <v>24</v>
      </c>
      <c r="P1426" t="s">
        <v>24</v>
      </c>
      <c r="Q1426" t="s">
        <v>24</v>
      </c>
    </row>
    <row r="1427" spans="1:17" x14ac:dyDescent="0.25">
      <c r="A1427" t="s">
        <v>2370</v>
      </c>
      <c r="B1427" t="s">
        <v>2371</v>
      </c>
      <c r="C1427" s="1">
        <v>41275</v>
      </c>
      <c r="D1427" s="1">
        <v>41639</v>
      </c>
      <c r="E1427" t="s">
        <v>2372</v>
      </c>
      <c r="G1427" t="s">
        <v>1625</v>
      </c>
      <c r="H1427" t="s">
        <v>42</v>
      </c>
      <c r="I1427" t="str">
        <f>"53045"</f>
        <v>53045</v>
      </c>
      <c r="J1427" t="s">
        <v>22</v>
      </c>
      <c r="K1427" t="s">
        <v>30</v>
      </c>
      <c r="L1427" s="2">
        <v>3154357</v>
      </c>
      <c r="M1427" s="2">
        <v>169531</v>
      </c>
      <c r="N1427" s="2">
        <v>0</v>
      </c>
      <c r="O1427" s="2">
        <v>131655</v>
      </c>
      <c r="P1427" t="s">
        <v>24</v>
      </c>
      <c r="Q1427" t="s">
        <v>24</v>
      </c>
    </row>
    <row r="1428" spans="1:17" x14ac:dyDescent="0.25">
      <c r="A1428" t="s">
        <v>6384</v>
      </c>
      <c r="B1428" t="s">
        <v>6385</v>
      </c>
      <c r="C1428" s="1">
        <v>41275</v>
      </c>
      <c r="D1428" s="1">
        <v>41639</v>
      </c>
      <c r="E1428" t="s">
        <v>6386</v>
      </c>
      <c r="G1428" t="s">
        <v>2358</v>
      </c>
      <c r="H1428" t="s">
        <v>21</v>
      </c>
      <c r="I1428" t="str">
        <f>"46580"</f>
        <v>46580</v>
      </c>
      <c r="J1428" t="s">
        <v>22</v>
      </c>
      <c r="K1428" t="s">
        <v>23</v>
      </c>
      <c r="L1428" s="2">
        <v>3144355</v>
      </c>
      <c r="M1428" s="2">
        <v>1483585</v>
      </c>
      <c r="N1428" s="2">
        <v>0</v>
      </c>
      <c r="O1428" s="2">
        <v>117063</v>
      </c>
      <c r="P1428" t="s">
        <v>24</v>
      </c>
      <c r="Q1428" t="s">
        <v>24</v>
      </c>
    </row>
    <row r="1429" spans="1:17" x14ac:dyDescent="0.25">
      <c r="A1429" t="s">
        <v>2825</v>
      </c>
      <c r="B1429" t="s">
        <v>2826</v>
      </c>
      <c r="C1429" s="1">
        <v>41275</v>
      </c>
      <c r="D1429" s="1">
        <v>41639</v>
      </c>
      <c r="E1429" t="s">
        <v>2827</v>
      </c>
      <c r="G1429" t="s">
        <v>2081</v>
      </c>
      <c r="H1429" t="s">
        <v>62</v>
      </c>
      <c r="I1429" t="str">
        <f>"44870"</f>
        <v>44870</v>
      </c>
      <c r="J1429" t="s">
        <v>22</v>
      </c>
      <c r="K1429" t="s">
        <v>30</v>
      </c>
      <c r="L1429" s="2">
        <v>3131321</v>
      </c>
      <c r="M1429" s="2">
        <v>629262</v>
      </c>
      <c r="N1429" s="2">
        <v>0</v>
      </c>
      <c r="O1429" s="2">
        <v>174026</v>
      </c>
      <c r="P1429" t="s">
        <v>24</v>
      </c>
      <c r="Q1429" t="s">
        <v>24</v>
      </c>
    </row>
    <row r="1430" spans="1:17" x14ac:dyDescent="0.25">
      <c r="A1430" t="s">
        <v>2476</v>
      </c>
      <c r="B1430" t="s">
        <v>2477</v>
      </c>
      <c r="C1430" s="1">
        <v>41275</v>
      </c>
      <c r="D1430" s="1">
        <v>41639</v>
      </c>
      <c r="E1430" t="s">
        <v>2478</v>
      </c>
      <c r="G1430" t="s">
        <v>1792</v>
      </c>
      <c r="H1430" t="s">
        <v>47</v>
      </c>
      <c r="I1430" t="str">
        <f>"48302"</f>
        <v>48302</v>
      </c>
      <c r="J1430" t="s">
        <v>22</v>
      </c>
      <c r="K1430" t="s">
        <v>23</v>
      </c>
      <c r="L1430" s="2">
        <v>3120861</v>
      </c>
      <c r="M1430" s="2">
        <v>1374006</v>
      </c>
      <c r="N1430" s="2">
        <v>0</v>
      </c>
      <c r="O1430" s="2">
        <v>160231</v>
      </c>
      <c r="P1430" t="s">
        <v>24</v>
      </c>
      <c r="Q1430" t="s">
        <v>24</v>
      </c>
    </row>
    <row r="1431" spans="1:17" x14ac:dyDescent="0.25">
      <c r="A1431" t="s">
        <v>2153</v>
      </c>
      <c r="B1431" t="s">
        <v>2154</v>
      </c>
      <c r="C1431" s="1">
        <v>41275</v>
      </c>
      <c r="D1431" s="1">
        <v>41639</v>
      </c>
      <c r="E1431" t="s">
        <v>2155</v>
      </c>
      <c r="G1431" t="s">
        <v>167</v>
      </c>
      <c r="H1431" t="s">
        <v>62</v>
      </c>
      <c r="I1431" t="str">
        <f>"45247"</f>
        <v>45247</v>
      </c>
      <c r="J1431" t="s">
        <v>22</v>
      </c>
      <c r="K1431" t="s">
        <v>79</v>
      </c>
      <c r="L1431" s="2">
        <v>3119116</v>
      </c>
      <c r="M1431" s="2">
        <v>246684</v>
      </c>
      <c r="N1431" s="2">
        <v>0</v>
      </c>
      <c r="O1431" s="2">
        <v>187864</v>
      </c>
      <c r="P1431" t="s">
        <v>24</v>
      </c>
      <c r="Q1431" t="s">
        <v>24</v>
      </c>
    </row>
    <row r="1432" spans="1:17" x14ac:dyDescent="0.25">
      <c r="A1432" t="s">
        <v>941</v>
      </c>
      <c r="B1432" t="s">
        <v>942</v>
      </c>
      <c r="C1432" s="1">
        <v>41275</v>
      </c>
      <c r="D1432" s="1">
        <v>41639</v>
      </c>
      <c r="E1432" t="s">
        <v>104</v>
      </c>
      <c r="G1432" t="s">
        <v>28</v>
      </c>
      <c r="H1432" t="s">
        <v>29</v>
      </c>
      <c r="I1432" t="str">
        <f>"60680"</f>
        <v>60680</v>
      </c>
      <c r="J1432" t="s">
        <v>22</v>
      </c>
      <c r="K1432" t="s">
        <v>23</v>
      </c>
      <c r="L1432" s="2">
        <v>3114031</v>
      </c>
      <c r="M1432" s="2">
        <v>1090431</v>
      </c>
      <c r="N1432" s="2">
        <v>0</v>
      </c>
      <c r="O1432" s="2">
        <v>131137</v>
      </c>
      <c r="P1432" t="s">
        <v>24</v>
      </c>
      <c r="Q1432" t="s">
        <v>24</v>
      </c>
    </row>
    <row r="1433" spans="1:17" x14ac:dyDescent="0.25">
      <c r="A1433" t="s">
        <v>1150</v>
      </c>
      <c r="B1433" t="s">
        <v>1151</v>
      </c>
      <c r="C1433" s="1">
        <v>40909</v>
      </c>
      <c r="D1433" s="1">
        <v>41274</v>
      </c>
      <c r="E1433" t="s">
        <v>1152</v>
      </c>
      <c r="G1433" t="s">
        <v>34</v>
      </c>
      <c r="H1433" t="s">
        <v>29</v>
      </c>
      <c r="I1433" t="str">
        <f>"60305"</f>
        <v>60305</v>
      </c>
      <c r="J1433" t="s">
        <v>22</v>
      </c>
      <c r="K1433" t="s">
        <v>30</v>
      </c>
      <c r="L1433" s="2">
        <v>3108777</v>
      </c>
      <c r="M1433" s="2">
        <v>3467562</v>
      </c>
      <c r="N1433" s="2">
        <v>0</v>
      </c>
      <c r="O1433" s="2">
        <v>107455</v>
      </c>
      <c r="P1433" t="s">
        <v>24</v>
      </c>
      <c r="Q1433" t="s">
        <v>24</v>
      </c>
    </row>
    <row r="1434" spans="1:17" x14ac:dyDescent="0.25">
      <c r="A1434" t="s">
        <v>284</v>
      </c>
      <c r="B1434" t="s">
        <v>285</v>
      </c>
      <c r="C1434" s="1">
        <v>41275</v>
      </c>
      <c r="D1434" s="1">
        <v>41639</v>
      </c>
      <c r="E1434" t="s">
        <v>286</v>
      </c>
      <c r="G1434" t="s">
        <v>287</v>
      </c>
      <c r="H1434" t="s">
        <v>29</v>
      </c>
      <c r="I1434" t="str">
        <f>"60510"</f>
        <v>60510</v>
      </c>
      <c r="J1434" t="s">
        <v>22</v>
      </c>
      <c r="K1434" t="s">
        <v>30</v>
      </c>
      <c r="L1434" s="2">
        <v>3098830</v>
      </c>
      <c r="M1434" s="2">
        <v>3753681</v>
      </c>
      <c r="N1434" s="2">
        <v>0</v>
      </c>
      <c r="O1434" s="2">
        <v>144892</v>
      </c>
      <c r="P1434" t="s">
        <v>24</v>
      </c>
      <c r="Q1434" t="s">
        <v>24</v>
      </c>
    </row>
    <row r="1435" spans="1:17" x14ac:dyDescent="0.25">
      <c r="A1435" t="s">
        <v>1551</v>
      </c>
      <c r="B1435" t="s">
        <v>1552</v>
      </c>
      <c r="C1435" s="1">
        <v>41275</v>
      </c>
      <c r="D1435" s="1">
        <v>41639</v>
      </c>
      <c r="E1435" t="s">
        <v>1553</v>
      </c>
      <c r="G1435" t="s">
        <v>535</v>
      </c>
      <c r="H1435" t="s">
        <v>62</v>
      </c>
      <c r="I1435" t="str">
        <f>"44906"</f>
        <v>44906</v>
      </c>
      <c r="J1435" t="s">
        <v>22</v>
      </c>
      <c r="K1435" t="s">
        <v>23</v>
      </c>
      <c r="L1435" s="2">
        <v>3098030</v>
      </c>
      <c r="M1435" s="2">
        <v>75923</v>
      </c>
      <c r="N1435" s="2">
        <v>0</v>
      </c>
      <c r="O1435" s="2">
        <v>93200</v>
      </c>
      <c r="P1435" t="s">
        <v>24</v>
      </c>
      <c r="Q1435" t="s">
        <v>24</v>
      </c>
    </row>
    <row r="1436" spans="1:17" x14ac:dyDescent="0.25">
      <c r="A1436" t="s">
        <v>4851</v>
      </c>
      <c r="B1436" t="s">
        <v>4852</v>
      </c>
      <c r="C1436" s="1">
        <v>41275</v>
      </c>
      <c r="D1436" s="1">
        <v>41639</v>
      </c>
      <c r="E1436" t="s">
        <v>4853</v>
      </c>
      <c r="G1436" t="s">
        <v>4854</v>
      </c>
      <c r="H1436" t="s">
        <v>42</v>
      </c>
      <c r="I1436" t="str">
        <f>"53597"</f>
        <v>53597</v>
      </c>
      <c r="J1436" t="s">
        <v>22</v>
      </c>
      <c r="K1436" t="s">
        <v>30</v>
      </c>
      <c r="L1436" s="2">
        <v>3093437</v>
      </c>
      <c r="M1436" s="2">
        <v>1838200</v>
      </c>
      <c r="N1436" s="2">
        <v>0</v>
      </c>
      <c r="O1436" s="2">
        <v>43648</v>
      </c>
      <c r="P1436" t="s">
        <v>24</v>
      </c>
      <c r="Q1436" t="s">
        <v>24</v>
      </c>
    </row>
    <row r="1437" spans="1:17" x14ac:dyDescent="0.25">
      <c r="A1437" t="s">
        <v>3542</v>
      </c>
      <c r="B1437" t="s">
        <v>3543</v>
      </c>
      <c r="C1437" s="1">
        <v>41275</v>
      </c>
      <c r="D1437" s="1">
        <v>41639</v>
      </c>
      <c r="E1437" t="s">
        <v>3544</v>
      </c>
      <c r="G1437" t="s">
        <v>160</v>
      </c>
      <c r="H1437" t="s">
        <v>78</v>
      </c>
      <c r="I1437" t="str">
        <f>"40513"</f>
        <v>40513</v>
      </c>
      <c r="J1437" t="s">
        <v>22</v>
      </c>
      <c r="K1437" t="s">
        <v>23</v>
      </c>
      <c r="L1437" s="2">
        <v>3091697</v>
      </c>
      <c r="M1437" s="2">
        <v>335984</v>
      </c>
      <c r="N1437" s="2">
        <v>0</v>
      </c>
      <c r="O1437" s="2">
        <v>139767</v>
      </c>
      <c r="P1437" t="s">
        <v>24</v>
      </c>
      <c r="Q1437" t="s">
        <v>24</v>
      </c>
    </row>
    <row r="1438" spans="1:17" x14ac:dyDescent="0.25">
      <c r="A1438" t="s">
        <v>6638</v>
      </c>
      <c r="B1438" t="s">
        <v>6639</v>
      </c>
      <c r="C1438" s="1">
        <v>41275</v>
      </c>
      <c r="D1438" s="1">
        <v>41639</v>
      </c>
      <c r="E1438" t="s">
        <v>6640</v>
      </c>
      <c r="G1438" t="s">
        <v>1517</v>
      </c>
      <c r="H1438" t="s">
        <v>29</v>
      </c>
      <c r="I1438" t="str">
        <f>"60173"</f>
        <v>60173</v>
      </c>
      <c r="J1438" t="s">
        <v>22</v>
      </c>
      <c r="K1438" t="s">
        <v>23</v>
      </c>
      <c r="L1438" s="2">
        <v>3089952</v>
      </c>
      <c r="M1438" s="2">
        <v>4485014</v>
      </c>
      <c r="N1438" s="2">
        <v>0</v>
      </c>
      <c r="O1438" s="2">
        <v>118157</v>
      </c>
      <c r="P1438" t="s">
        <v>24</v>
      </c>
      <c r="Q1438" t="s">
        <v>24</v>
      </c>
    </row>
    <row r="1439" spans="1:17" x14ac:dyDescent="0.25">
      <c r="A1439" t="s">
        <v>4473</v>
      </c>
      <c r="B1439" t="s">
        <v>4474</v>
      </c>
      <c r="C1439" s="1">
        <v>41244</v>
      </c>
      <c r="D1439" s="1">
        <v>41608</v>
      </c>
      <c r="E1439" t="s">
        <v>4475</v>
      </c>
      <c r="G1439" t="s">
        <v>167</v>
      </c>
      <c r="H1439" t="s">
        <v>62</v>
      </c>
      <c r="I1439" t="str">
        <f>"45254"</f>
        <v>45254</v>
      </c>
      <c r="J1439" t="s">
        <v>22</v>
      </c>
      <c r="K1439" t="s">
        <v>23</v>
      </c>
      <c r="L1439" s="2">
        <v>3085443</v>
      </c>
      <c r="M1439" s="2">
        <v>137496</v>
      </c>
      <c r="N1439" s="2">
        <v>0</v>
      </c>
      <c r="O1439" s="2">
        <v>148439</v>
      </c>
      <c r="P1439" t="s">
        <v>24</v>
      </c>
      <c r="Q1439" t="s">
        <v>24</v>
      </c>
    </row>
    <row r="1440" spans="1:17" x14ac:dyDescent="0.25">
      <c r="A1440" t="s">
        <v>5628</v>
      </c>
      <c r="B1440" t="s">
        <v>5629</v>
      </c>
      <c r="C1440" s="1">
        <v>41275</v>
      </c>
      <c r="D1440" s="1">
        <v>41639</v>
      </c>
      <c r="E1440" t="s">
        <v>1342</v>
      </c>
      <c r="G1440" t="s">
        <v>77</v>
      </c>
      <c r="H1440" t="s">
        <v>78</v>
      </c>
      <c r="I1440" t="str">
        <f>"40232"</f>
        <v>40232</v>
      </c>
      <c r="J1440" t="s">
        <v>22</v>
      </c>
      <c r="K1440" t="s">
        <v>30</v>
      </c>
      <c r="L1440" s="2">
        <v>3083928</v>
      </c>
      <c r="M1440" s="2">
        <v>183192</v>
      </c>
      <c r="N1440" s="2">
        <v>0</v>
      </c>
      <c r="O1440" s="2">
        <v>162599</v>
      </c>
      <c r="P1440" t="s">
        <v>24</v>
      </c>
      <c r="Q1440" t="s">
        <v>24</v>
      </c>
    </row>
    <row r="1441" spans="1:17" x14ac:dyDescent="0.25">
      <c r="A1441" t="s">
        <v>583</v>
      </c>
      <c r="B1441" t="s">
        <v>584</v>
      </c>
      <c r="C1441" s="1">
        <v>41275</v>
      </c>
      <c r="D1441" s="1">
        <v>41639</v>
      </c>
      <c r="E1441" t="s">
        <v>585</v>
      </c>
      <c r="G1441" t="s">
        <v>86</v>
      </c>
      <c r="H1441" t="s">
        <v>42</v>
      </c>
      <c r="I1441" t="str">
        <f>"53704"</f>
        <v>53704</v>
      </c>
      <c r="J1441" t="s">
        <v>22</v>
      </c>
      <c r="K1441" t="s">
        <v>30</v>
      </c>
      <c r="L1441" s="2">
        <v>3081799</v>
      </c>
      <c r="M1441" s="2">
        <v>1289855</v>
      </c>
      <c r="N1441" s="2">
        <v>0</v>
      </c>
      <c r="O1441" s="2">
        <v>224248</v>
      </c>
      <c r="P1441" t="s">
        <v>24</v>
      </c>
      <c r="Q1441" t="s">
        <v>24</v>
      </c>
    </row>
    <row r="1442" spans="1:17" x14ac:dyDescent="0.25">
      <c r="A1442" t="s">
        <v>2379</v>
      </c>
      <c r="B1442" t="s">
        <v>2380</v>
      </c>
      <c r="C1442" s="1">
        <v>41275</v>
      </c>
      <c r="D1442" s="1">
        <v>41639</v>
      </c>
      <c r="E1442" t="s">
        <v>104</v>
      </c>
      <c r="G1442" t="s">
        <v>28</v>
      </c>
      <c r="H1442" t="s">
        <v>29</v>
      </c>
      <c r="I1442" t="str">
        <f>"60680"</f>
        <v>60680</v>
      </c>
      <c r="J1442" t="s">
        <v>22</v>
      </c>
      <c r="K1442" t="s">
        <v>30</v>
      </c>
      <c r="L1442" s="2">
        <v>3079667</v>
      </c>
      <c r="M1442" s="2">
        <v>913894</v>
      </c>
      <c r="N1442" s="2">
        <v>0</v>
      </c>
      <c r="O1442" s="2">
        <v>159063</v>
      </c>
      <c r="P1442" t="s">
        <v>24</v>
      </c>
      <c r="Q1442" t="s">
        <v>24</v>
      </c>
    </row>
    <row r="1443" spans="1:17" x14ac:dyDescent="0.25">
      <c r="A1443" t="s">
        <v>1530</v>
      </c>
      <c r="B1443" t="s">
        <v>1531</v>
      </c>
      <c r="C1443" s="1">
        <v>40817</v>
      </c>
      <c r="D1443" s="1">
        <v>41182</v>
      </c>
      <c r="E1443" t="s">
        <v>1532</v>
      </c>
      <c r="G1443" t="s">
        <v>20</v>
      </c>
      <c r="H1443" t="s">
        <v>21</v>
      </c>
      <c r="I1443" t="str">
        <f>"46280"</f>
        <v>46280</v>
      </c>
      <c r="J1443" t="s">
        <v>22</v>
      </c>
      <c r="K1443" t="s">
        <v>30</v>
      </c>
      <c r="L1443" s="2">
        <v>3076095</v>
      </c>
      <c r="M1443" s="2">
        <v>8407008</v>
      </c>
      <c r="N1443" s="2">
        <v>0</v>
      </c>
      <c r="O1443" s="2">
        <v>924105</v>
      </c>
      <c r="P1443" t="s">
        <v>24</v>
      </c>
      <c r="Q1443" t="s">
        <v>24</v>
      </c>
    </row>
    <row r="1444" spans="1:17" x14ac:dyDescent="0.25">
      <c r="A1444" t="s">
        <v>6299</v>
      </c>
      <c r="B1444" t="s">
        <v>6300</v>
      </c>
      <c r="C1444" s="1">
        <v>41548</v>
      </c>
      <c r="D1444" s="1">
        <v>41912</v>
      </c>
      <c r="E1444" t="s">
        <v>6301</v>
      </c>
      <c r="G1444" t="s">
        <v>6057</v>
      </c>
      <c r="H1444" t="s">
        <v>42</v>
      </c>
      <c r="I1444" t="str">
        <f>"54220"</f>
        <v>54220</v>
      </c>
      <c r="J1444" t="s">
        <v>22</v>
      </c>
      <c r="K1444" t="s">
        <v>23</v>
      </c>
      <c r="L1444" s="2">
        <v>3075400</v>
      </c>
      <c r="M1444" s="2">
        <v>1369275</v>
      </c>
      <c r="N1444" s="2">
        <v>0</v>
      </c>
      <c r="O1444" s="2">
        <v>163595</v>
      </c>
      <c r="P1444" t="s">
        <v>24</v>
      </c>
      <c r="Q1444" t="s">
        <v>24</v>
      </c>
    </row>
    <row r="1445" spans="1:17" x14ac:dyDescent="0.25">
      <c r="A1445" t="s">
        <v>3294</v>
      </c>
      <c r="B1445" t="s">
        <v>3295</v>
      </c>
      <c r="C1445" s="1">
        <v>41275</v>
      </c>
      <c r="D1445" s="1">
        <v>41639</v>
      </c>
      <c r="E1445" t="s">
        <v>3296</v>
      </c>
      <c r="G1445" t="s">
        <v>1054</v>
      </c>
      <c r="H1445" t="s">
        <v>47</v>
      </c>
      <c r="I1445" t="str">
        <f>"48323"</f>
        <v>48323</v>
      </c>
      <c r="J1445" t="s">
        <v>22</v>
      </c>
      <c r="K1445" t="s">
        <v>23</v>
      </c>
      <c r="L1445" s="2">
        <v>3075380</v>
      </c>
      <c r="M1445" s="2">
        <v>36402</v>
      </c>
      <c r="N1445" s="2">
        <v>0</v>
      </c>
      <c r="O1445" s="2">
        <v>291440</v>
      </c>
      <c r="P1445" t="s">
        <v>24</v>
      </c>
      <c r="Q1445" t="s">
        <v>24</v>
      </c>
    </row>
    <row r="1446" spans="1:17" x14ac:dyDescent="0.25">
      <c r="A1446" t="s">
        <v>834</v>
      </c>
      <c r="B1446" t="s">
        <v>835</v>
      </c>
      <c r="C1446" s="1">
        <v>41275</v>
      </c>
      <c r="D1446" s="1">
        <v>41639</v>
      </c>
      <c r="E1446" t="s">
        <v>836</v>
      </c>
      <c r="G1446" t="s">
        <v>20</v>
      </c>
      <c r="H1446" t="s">
        <v>21</v>
      </c>
      <c r="I1446" t="str">
        <f>"46206"</f>
        <v>46206</v>
      </c>
      <c r="J1446" t="s">
        <v>63</v>
      </c>
      <c r="K1446" t="s">
        <v>79</v>
      </c>
      <c r="L1446" s="2">
        <v>3073134</v>
      </c>
      <c r="M1446" s="2">
        <v>572504</v>
      </c>
      <c r="N1446" s="2">
        <v>0</v>
      </c>
      <c r="O1446" s="2">
        <v>653401</v>
      </c>
      <c r="P1446" s="2">
        <v>14446</v>
      </c>
      <c r="Q1446" s="2">
        <v>0</v>
      </c>
    </row>
    <row r="1447" spans="1:17" x14ac:dyDescent="0.25">
      <c r="A1447" t="s">
        <v>3391</v>
      </c>
      <c r="B1447" t="s">
        <v>3392</v>
      </c>
      <c r="C1447" s="1">
        <v>41365</v>
      </c>
      <c r="D1447" s="1">
        <v>41729</v>
      </c>
      <c r="E1447" t="s">
        <v>1103</v>
      </c>
      <c r="G1447" t="s">
        <v>3393</v>
      </c>
      <c r="H1447" t="s">
        <v>47</v>
      </c>
      <c r="I1447" t="str">
        <f>"49072"</f>
        <v>49072</v>
      </c>
      <c r="J1447" t="s">
        <v>22</v>
      </c>
      <c r="K1447" t="s">
        <v>23</v>
      </c>
      <c r="L1447" s="2">
        <v>3069774</v>
      </c>
      <c r="M1447" s="2">
        <v>1086468</v>
      </c>
      <c r="N1447" s="2">
        <v>0</v>
      </c>
      <c r="O1447" s="2">
        <v>203105</v>
      </c>
      <c r="P1447" t="s">
        <v>24</v>
      </c>
      <c r="Q1447" t="s">
        <v>24</v>
      </c>
    </row>
    <row r="1448" spans="1:17" x14ac:dyDescent="0.25">
      <c r="A1448" t="s">
        <v>2578</v>
      </c>
      <c r="B1448" t="s">
        <v>2579</v>
      </c>
      <c r="C1448" s="1">
        <v>41275</v>
      </c>
      <c r="D1448" s="1">
        <v>41639</v>
      </c>
      <c r="E1448" t="s">
        <v>2580</v>
      </c>
      <c r="G1448" t="s">
        <v>1670</v>
      </c>
      <c r="H1448" t="s">
        <v>47</v>
      </c>
      <c r="I1448" t="str">
        <f>"48324"</f>
        <v>48324</v>
      </c>
      <c r="J1448" t="s">
        <v>22</v>
      </c>
      <c r="K1448" t="s">
        <v>23</v>
      </c>
      <c r="L1448" s="2">
        <v>3066779</v>
      </c>
      <c r="M1448" s="2">
        <v>576335</v>
      </c>
      <c r="N1448" s="2">
        <v>0</v>
      </c>
      <c r="O1448" s="2">
        <v>412240</v>
      </c>
      <c r="P1448" t="s">
        <v>24</v>
      </c>
      <c r="Q1448" t="s">
        <v>24</v>
      </c>
    </row>
    <row r="1449" spans="1:17" x14ac:dyDescent="0.25">
      <c r="A1449" t="s">
        <v>4663</v>
      </c>
      <c r="B1449" t="s">
        <v>4664</v>
      </c>
      <c r="C1449" s="1">
        <v>41275</v>
      </c>
      <c r="D1449" s="1">
        <v>41639</v>
      </c>
      <c r="E1449" t="s">
        <v>2132</v>
      </c>
      <c r="G1449" t="s">
        <v>41</v>
      </c>
      <c r="H1449" t="s">
        <v>42</v>
      </c>
      <c r="I1449" t="str">
        <f>"53212"</f>
        <v>53212</v>
      </c>
      <c r="J1449" t="s">
        <v>63</v>
      </c>
      <c r="K1449" t="s">
        <v>64</v>
      </c>
      <c r="L1449" s="2">
        <v>3066045</v>
      </c>
      <c r="M1449" s="2">
        <v>350035</v>
      </c>
      <c r="N1449" s="2">
        <v>2325</v>
      </c>
      <c r="O1449" s="2">
        <v>292655</v>
      </c>
      <c r="P1449" s="2">
        <v>48438</v>
      </c>
      <c r="Q1449" s="2">
        <v>9247</v>
      </c>
    </row>
    <row r="1450" spans="1:17" x14ac:dyDescent="0.25">
      <c r="A1450" t="s">
        <v>4096</v>
      </c>
      <c r="B1450" t="s">
        <v>4097</v>
      </c>
      <c r="C1450" s="1">
        <v>41275</v>
      </c>
      <c r="D1450" s="1">
        <v>41639</v>
      </c>
      <c r="E1450" t="s">
        <v>40</v>
      </c>
      <c r="G1450" t="s">
        <v>41</v>
      </c>
      <c r="H1450" t="s">
        <v>42</v>
      </c>
      <c r="I1450" t="str">
        <f>"53201"</f>
        <v>53201</v>
      </c>
      <c r="J1450" t="s">
        <v>22</v>
      </c>
      <c r="K1450" t="s">
        <v>23</v>
      </c>
      <c r="L1450" s="2">
        <v>3065092</v>
      </c>
      <c r="M1450" s="2">
        <v>342260</v>
      </c>
      <c r="N1450" s="2">
        <v>0</v>
      </c>
      <c r="O1450" s="2">
        <v>252728</v>
      </c>
      <c r="P1450" t="s">
        <v>24</v>
      </c>
      <c r="Q1450" t="s">
        <v>24</v>
      </c>
    </row>
    <row r="1451" spans="1:17" x14ac:dyDescent="0.25">
      <c r="A1451" t="s">
        <v>125</v>
      </c>
      <c r="B1451" t="s">
        <v>126</v>
      </c>
      <c r="C1451" s="1">
        <v>41275</v>
      </c>
      <c r="D1451" s="1">
        <v>41639</v>
      </c>
      <c r="E1451" t="s">
        <v>127</v>
      </c>
      <c r="G1451" t="s">
        <v>28</v>
      </c>
      <c r="H1451" t="s">
        <v>29</v>
      </c>
      <c r="I1451" t="str">
        <f>"60610"</f>
        <v>60610</v>
      </c>
      <c r="J1451" t="s">
        <v>22</v>
      </c>
      <c r="K1451" t="s">
        <v>23</v>
      </c>
      <c r="L1451" s="2">
        <v>3064582</v>
      </c>
      <c r="M1451" s="2">
        <v>129115</v>
      </c>
      <c r="N1451" s="2">
        <v>0</v>
      </c>
      <c r="O1451" s="2">
        <v>200099</v>
      </c>
      <c r="P1451" t="s">
        <v>24</v>
      </c>
      <c r="Q1451" t="s">
        <v>24</v>
      </c>
    </row>
    <row r="1452" spans="1:17" x14ac:dyDescent="0.25">
      <c r="A1452" t="s">
        <v>5469</v>
      </c>
      <c r="B1452" t="s">
        <v>5470</v>
      </c>
      <c r="C1452" s="1">
        <v>41275</v>
      </c>
      <c r="D1452" s="1">
        <v>41639</v>
      </c>
      <c r="E1452" t="s">
        <v>848</v>
      </c>
      <c r="G1452" t="s">
        <v>28</v>
      </c>
      <c r="H1452" t="s">
        <v>29</v>
      </c>
      <c r="I1452" t="str">
        <f>"60603"</f>
        <v>60603</v>
      </c>
      <c r="J1452" t="s">
        <v>22</v>
      </c>
      <c r="K1452" t="s">
        <v>23</v>
      </c>
      <c r="L1452" s="2">
        <v>3060077</v>
      </c>
      <c r="M1452" s="2">
        <v>1353543</v>
      </c>
      <c r="N1452" s="2">
        <v>0</v>
      </c>
      <c r="O1452" s="2">
        <v>117426</v>
      </c>
      <c r="P1452" t="s">
        <v>24</v>
      </c>
      <c r="Q1452" t="s">
        <v>24</v>
      </c>
    </row>
    <row r="1453" spans="1:17" x14ac:dyDescent="0.25">
      <c r="A1453" t="s">
        <v>2729</v>
      </c>
      <c r="B1453" t="s">
        <v>2730</v>
      </c>
      <c r="C1453" s="1">
        <v>41275</v>
      </c>
      <c r="D1453" s="1">
        <v>41639</v>
      </c>
      <c r="E1453" t="s">
        <v>2731</v>
      </c>
      <c r="G1453" t="s">
        <v>1111</v>
      </c>
      <c r="H1453" t="s">
        <v>47</v>
      </c>
      <c r="I1453" t="str">
        <f>"48301"</f>
        <v>48301</v>
      </c>
      <c r="J1453" t="s">
        <v>22</v>
      </c>
      <c r="K1453" t="s">
        <v>23</v>
      </c>
      <c r="L1453" s="2">
        <v>3059162</v>
      </c>
      <c r="M1453" s="2">
        <v>1461815</v>
      </c>
      <c r="N1453" s="2">
        <v>0</v>
      </c>
      <c r="O1453" s="2">
        <v>133463</v>
      </c>
      <c r="P1453" t="s">
        <v>24</v>
      </c>
      <c r="Q1453" t="s">
        <v>24</v>
      </c>
    </row>
    <row r="1454" spans="1:17" x14ac:dyDescent="0.25">
      <c r="A1454" t="s">
        <v>1186</v>
      </c>
      <c r="B1454" t="s">
        <v>1187</v>
      </c>
      <c r="C1454" s="1">
        <v>41275</v>
      </c>
      <c r="D1454" s="1">
        <v>41639</v>
      </c>
      <c r="E1454" t="s">
        <v>1188</v>
      </c>
      <c r="G1454" t="s">
        <v>1189</v>
      </c>
      <c r="H1454" t="s">
        <v>29</v>
      </c>
      <c r="I1454" t="str">
        <f>"60521"</f>
        <v>60521</v>
      </c>
      <c r="J1454" t="s">
        <v>22</v>
      </c>
      <c r="K1454" t="s">
        <v>23</v>
      </c>
      <c r="L1454" s="2">
        <v>3053438</v>
      </c>
      <c r="M1454" s="2">
        <v>945597</v>
      </c>
      <c r="N1454" s="2">
        <v>12742</v>
      </c>
      <c r="O1454" s="2">
        <v>338885</v>
      </c>
      <c r="P1454" t="s">
        <v>24</v>
      </c>
      <c r="Q1454" t="s">
        <v>24</v>
      </c>
    </row>
    <row r="1455" spans="1:17" x14ac:dyDescent="0.25">
      <c r="A1455" t="s">
        <v>2537</v>
      </c>
      <c r="B1455" t="s">
        <v>2538</v>
      </c>
      <c r="C1455" s="1">
        <v>41275</v>
      </c>
      <c r="D1455" s="1">
        <v>41639</v>
      </c>
      <c r="E1455" t="s">
        <v>2539</v>
      </c>
      <c r="G1455" t="s">
        <v>1757</v>
      </c>
      <c r="H1455" t="s">
        <v>47</v>
      </c>
      <c r="I1455" t="str">
        <f>"49007"</f>
        <v>49007</v>
      </c>
      <c r="J1455" t="s">
        <v>22</v>
      </c>
      <c r="K1455" t="s">
        <v>30</v>
      </c>
      <c r="L1455" s="2">
        <v>3035479</v>
      </c>
      <c r="M1455" s="2">
        <v>2090766</v>
      </c>
      <c r="N1455" s="2">
        <v>0</v>
      </c>
      <c r="O1455" s="2">
        <v>2159351</v>
      </c>
      <c r="P1455" t="s">
        <v>24</v>
      </c>
      <c r="Q1455" t="s">
        <v>24</v>
      </c>
    </row>
    <row r="1456" spans="1:17" x14ac:dyDescent="0.25">
      <c r="A1456" t="s">
        <v>3827</v>
      </c>
      <c r="B1456" t="s">
        <v>3828</v>
      </c>
      <c r="C1456" s="1">
        <v>41456</v>
      </c>
      <c r="D1456" s="1">
        <v>41820</v>
      </c>
      <c r="E1456" t="s">
        <v>572</v>
      </c>
      <c r="G1456" t="s">
        <v>86</v>
      </c>
      <c r="H1456" t="s">
        <v>42</v>
      </c>
      <c r="I1456" t="str">
        <f>"53701"</f>
        <v>53701</v>
      </c>
      <c r="J1456" t="s">
        <v>22</v>
      </c>
      <c r="K1456" t="s">
        <v>23</v>
      </c>
      <c r="L1456" s="2">
        <v>3028535</v>
      </c>
      <c r="M1456" s="2">
        <v>951290</v>
      </c>
      <c r="N1456" s="2">
        <v>0</v>
      </c>
      <c r="O1456" s="2">
        <v>135422</v>
      </c>
      <c r="P1456" t="s">
        <v>24</v>
      </c>
      <c r="Q1456" t="s">
        <v>24</v>
      </c>
    </row>
    <row r="1457" spans="1:17" x14ac:dyDescent="0.25">
      <c r="A1457" t="s">
        <v>6422</v>
      </c>
      <c r="B1457" t="s">
        <v>6423</v>
      </c>
      <c r="C1457" s="1">
        <v>41275</v>
      </c>
      <c r="D1457" s="1">
        <v>41639</v>
      </c>
      <c r="E1457" t="s">
        <v>489</v>
      </c>
      <c r="G1457" t="s">
        <v>337</v>
      </c>
      <c r="H1457" t="s">
        <v>62</v>
      </c>
      <c r="I1457" t="str">
        <f>"44101"</f>
        <v>44101</v>
      </c>
      <c r="J1457" t="s">
        <v>22</v>
      </c>
      <c r="K1457" t="s">
        <v>23</v>
      </c>
      <c r="L1457" s="2">
        <v>3027914</v>
      </c>
      <c r="M1457" s="2">
        <v>1553723</v>
      </c>
      <c r="N1457" s="2">
        <v>0</v>
      </c>
      <c r="O1457" s="2">
        <v>148741</v>
      </c>
      <c r="P1457" t="s">
        <v>24</v>
      </c>
      <c r="Q1457" t="s">
        <v>24</v>
      </c>
    </row>
    <row r="1458" spans="1:17" x14ac:dyDescent="0.25">
      <c r="A1458" t="s">
        <v>687</v>
      </c>
      <c r="B1458" t="s">
        <v>688</v>
      </c>
      <c r="C1458" s="1">
        <v>41275</v>
      </c>
      <c r="D1458" s="1">
        <v>41639</v>
      </c>
      <c r="E1458" t="s">
        <v>142</v>
      </c>
      <c r="G1458" t="s">
        <v>143</v>
      </c>
      <c r="H1458" t="s">
        <v>47</v>
      </c>
      <c r="I1458" t="str">
        <f>"48275"</f>
        <v>48275</v>
      </c>
      <c r="J1458" t="s">
        <v>22</v>
      </c>
      <c r="K1458" t="s">
        <v>30</v>
      </c>
      <c r="L1458" s="2">
        <v>3019181</v>
      </c>
      <c r="M1458" s="2">
        <v>228301</v>
      </c>
      <c r="N1458" s="2">
        <v>0</v>
      </c>
      <c r="O1458" s="2">
        <v>165119</v>
      </c>
      <c r="P1458" t="s">
        <v>24</v>
      </c>
      <c r="Q1458" t="s">
        <v>24</v>
      </c>
    </row>
    <row r="1459" spans="1:17" x14ac:dyDescent="0.25">
      <c r="A1459" t="s">
        <v>5943</v>
      </c>
      <c r="B1459" t="s">
        <v>5944</v>
      </c>
      <c r="C1459" s="1">
        <v>40909</v>
      </c>
      <c r="D1459" s="1">
        <v>41274</v>
      </c>
      <c r="E1459" t="s">
        <v>5945</v>
      </c>
      <c r="G1459" t="s">
        <v>987</v>
      </c>
      <c r="H1459" t="s">
        <v>47</v>
      </c>
      <c r="I1459" t="str">
        <f>"48009"</f>
        <v>48009</v>
      </c>
      <c r="J1459" t="s">
        <v>22</v>
      </c>
      <c r="K1459" t="s">
        <v>23</v>
      </c>
      <c r="L1459" s="2">
        <v>3017670</v>
      </c>
      <c r="M1459" s="2">
        <v>1242726</v>
      </c>
      <c r="N1459" s="2">
        <v>0</v>
      </c>
      <c r="O1459" s="2">
        <v>194160</v>
      </c>
      <c r="P1459" t="s">
        <v>24</v>
      </c>
      <c r="Q1459" t="s">
        <v>24</v>
      </c>
    </row>
    <row r="1460" spans="1:17" x14ac:dyDescent="0.25">
      <c r="A1460" t="s">
        <v>5509</v>
      </c>
      <c r="B1460" t="s">
        <v>5510</v>
      </c>
      <c r="C1460" s="1">
        <v>41275</v>
      </c>
      <c r="D1460" s="1">
        <v>41639</v>
      </c>
      <c r="E1460" t="s">
        <v>5511</v>
      </c>
      <c r="G1460" t="s">
        <v>833</v>
      </c>
      <c r="H1460" t="s">
        <v>29</v>
      </c>
      <c r="I1460" t="str">
        <f>"61701"</f>
        <v>61701</v>
      </c>
      <c r="J1460" t="s">
        <v>22</v>
      </c>
      <c r="K1460" t="s">
        <v>23</v>
      </c>
      <c r="L1460" s="2">
        <v>3012329</v>
      </c>
      <c r="M1460" s="2">
        <v>458352</v>
      </c>
      <c r="N1460" s="2">
        <v>0</v>
      </c>
      <c r="O1460" s="2">
        <v>141025</v>
      </c>
      <c r="P1460" t="s">
        <v>24</v>
      </c>
      <c r="Q1460" t="s">
        <v>24</v>
      </c>
    </row>
    <row r="1461" spans="1:17" x14ac:dyDescent="0.25">
      <c r="A1461" t="s">
        <v>4439</v>
      </c>
      <c r="B1461" t="s">
        <v>4440</v>
      </c>
      <c r="C1461" s="1">
        <v>41275</v>
      </c>
      <c r="D1461" s="1">
        <v>41639</v>
      </c>
      <c r="E1461" t="s">
        <v>4441</v>
      </c>
      <c r="G1461" t="s">
        <v>1376</v>
      </c>
      <c r="H1461" t="s">
        <v>29</v>
      </c>
      <c r="I1461" t="str">
        <f>"60011"</f>
        <v>60011</v>
      </c>
      <c r="J1461" t="s">
        <v>22</v>
      </c>
      <c r="K1461" t="s">
        <v>23</v>
      </c>
      <c r="L1461" s="2">
        <v>3005914</v>
      </c>
      <c r="M1461" s="2">
        <v>199831</v>
      </c>
      <c r="N1461" s="2">
        <v>0</v>
      </c>
      <c r="O1461" s="2">
        <v>116507</v>
      </c>
      <c r="P1461" t="s">
        <v>24</v>
      </c>
      <c r="Q1461" t="s">
        <v>24</v>
      </c>
    </row>
    <row r="1462" spans="1:17" x14ac:dyDescent="0.25">
      <c r="A1462" t="s">
        <v>1403</v>
      </c>
      <c r="B1462" t="s">
        <v>1404</v>
      </c>
      <c r="E1462" t="s">
        <v>1405</v>
      </c>
      <c r="G1462" t="s">
        <v>28</v>
      </c>
      <c r="H1462" t="s">
        <v>29</v>
      </c>
      <c r="I1462" t="str">
        <f>"60603"</f>
        <v>60603</v>
      </c>
      <c r="J1462" t="s">
        <v>22</v>
      </c>
      <c r="K1462" t="s">
        <v>23</v>
      </c>
      <c r="L1462" s="2">
        <v>3004089</v>
      </c>
      <c r="M1462" s="2">
        <v>4003106</v>
      </c>
      <c r="N1462" s="2">
        <v>0</v>
      </c>
      <c r="O1462" t="s">
        <v>24</v>
      </c>
      <c r="P1462" t="s">
        <v>24</v>
      </c>
      <c r="Q1462" t="s">
        <v>24</v>
      </c>
    </row>
    <row r="1463" spans="1:17" x14ac:dyDescent="0.25">
      <c r="A1463" t="s">
        <v>5600</v>
      </c>
      <c r="B1463" t="s">
        <v>5601</v>
      </c>
      <c r="C1463" s="1">
        <v>41275</v>
      </c>
      <c r="D1463" s="1">
        <v>41639</v>
      </c>
      <c r="E1463" t="s">
        <v>750</v>
      </c>
      <c r="G1463" t="s">
        <v>751</v>
      </c>
      <c r="H1463" t="s">
        <v>62</v>
      </c>
      <c r="I1463" t="str">
        <f>"44144"</f>
        <v>44144</v>
      </c>
      <c r="J1463" t="s">
        <v>22</v>
      </c>
      <c r="K1463" t="s">
        <v>30</v>
      </c>
      <c r="L1463" s="2">
        <v>3003956</v>
      </c>
      <c r="M1463" s="2">
        <v>1414168</v>
      </c>
      <c r="N1463" s="2">
        <v>0</v>
      </c>
      <c r="O1463" s="2">
        <v>436288</v>
      </c>
      <c r="P1463" t="s">
        <v>24</v>
      </c>
      <c r="Q1463" t="s">
        <v>24</v>
      </c>
    </row>
    <row r="1464" spans="1:17" x14ac:dyDescent="0.25">
      <c r="A1464" t="s">
        <v>2635</v>
      </c>
      <c r="B1464" t="s">
        <v>2636</v>
      </c>
      <c r="C1464" s="1">
        <v>41275</v>
      </c>
      <c r="D1464" s="1">
        <v>41639</v>
      </c>
      <c r="E1464" t="s">
        <v>2637</v>
      </c>
      <c r="G1464" t="s">
        <v>1598</v>
      </c>
      <c r="H1464" t="s">
        <v>29</v>
      </c>
      <c r="I1464" t="str">
        <f>"61550"</f>
        <v>61550</v>
      </c>
      <c r="J1464" t="s">
        <v>22</v>
      </c>
      <c r="K1464" t="s">
        <v>23</v>
      </c>
      <c r="L1464" s="2">
        <v>3003768</v>
      </c>
      <c r="M1464" s="2">
        <v>181117</v>
      </c>
      <c r="N1464" s="2">
        <v>0</v>
      </c>
      <c r="O1464" s="2">
        <v>277828</v>
      </c>
      <c r="P1464" t="s">
        <v>24</v>
      </c>
      <c r="Q1464" t="s">
        <v>24</v>
      </c>
    </row>
    <row r="1465" spans="1:17" x14ac:dyDescent="0.25">
      <c r="A1465" t="s">
        <v>5454</v>
      </c>
      <c r="B1465" t="s">
        <v>5455</v>
      </c>
      <c r="C1465" s="1">
        <v>41275</v>
      </c>
      <c r="D1465" s="1">
        <v>41639</v>
      </c>
      <c r="E1465" t="s">
        <v>101</v>
      </c>
      <c r="G1465" t="s">
        <v>86</v>
      </c>
      <c r="H1465" t="s">
        <v>42</v>
      </c>
      <c r="I1465" t="str">
        <f>"53707"</f>
        <v>53707</v>
      </c>
      <c r="J1465" t="s">
        <v>22</v>
      </c>
      <c r="K1465" t="s">
        <v>30</v>
      </c>
      <c r="L1465" s="2">
        <v>3003097</v>
      </c>
      <c r="M1465" s="2">
        <v>770438</v>
      </c>
      <c r="N1465" s="2">
        <v>0</v>
      </c>
      <c r="O1465" s="2">
        <v>202598</v>
      </c>
      <c r="P1465" t="s">
        <v>24</v>
      </c>
      <c r="Q1465" t="s">
        <v>24</v>
      </c>
    </row>
    <row r="1466" spans="1:17" x14ac:dyDescent="0.25">
      <c r="A1466" t="s">
        <v>2425</v>
      </c>
      <c r="B1466" t="s">
        <v>2426</v>
      </c>
      <c r="C1466" s="1">
        <v>41275</v>
      </c>
      <c r="D1466" s="1">
        <v>41639</v>
      </c>
      <c r="E1466" t="s">
        <v>2427</v>
      </c>
      <c r="G1466" t="s">
        <v>2428</v>
      </c>
      <c r="H1466" t="s">
        <v>78</v>
      </c>
      <c r="I1466" t="str">
        <f>"40059"</f>
        <v>40059</v>
      </c>
      <c r="J1466" t="s">
        <v>22</v>
      </c>
      <c r="K1466" t="s">
        <v>23</v>
      </c>
      <c r="L1466" s="2">
        <v>3001219</v>
      </c>
      <c r="M1466" s="2">
        <v>585799</v>
      </c>
      <c r="N1466" s="2">
        <v>0</v>
      </c>
      <c r="O1466" s="2">
        <v>142647</v>
      </c>
      <c r="P1466" t="s">
        <v>24</v>
      </c>
      <c r="Q1466" t="s">
        <v>24</v>
      </c>
    </row>
    <row r="1467" spans="1:17" x14ac:dyDescent="0.25">
      <c r="A1467" t="s">
        <v>681</v>
      </c>
      <c r="B1467" t="s">
        <v>682</v>
      </c>
      <c r="C1467" s="1">
        <v>40909</v>
      </c>
      <c r="D1467" s="1">
        <v>41274</v>
      </c>
      <c r="E1467" t="s">
        <v>683</v>
      </c>
      <c r="G1467" t="s">
        <v>684</v>
      </c>
      <c r="H1467" t="s">
        <v>21</v>
      </c>
      <c r="I1467" t="str">
        <f>"47905"</f>
        <v>47905</v>
      </c>
      <c r="J1467" t="s">
        <v>22</v>
      </c>
      <c r="K1467" t="s">
        <v>30</v>
      </c>
      <c r="L1467" s="2">
        <v>3000624</v>
      </c>
      <c r="M1467" s="2">
        <v>44189</v>
      </c>
      <c r="N1467" s="2">
        <v>0</v>
      </c>
      <c r="O1467" s="2">
        <v>152695</v>
      </c>
      <c r="P1467" t="s">
        <v>24</v>
      </c>
      <c r="Q1467" t="s">
        <v>24</v>
      </c>
    </row>
    <row r="1468" spans="1:17" x14ac:dyDescent="0.25">
      <c r="A1468" t="s">
        <v>4782</v>
      </c>
      <c r="B1468" t="s">
        <v>4783</v>
      </c>
      <c r="C1468" s="1">
        <v>41275</v>
      </c>
      <c r="D1468" s="1">
        <v>41639</v>
      </c>
      <c r="E1468" t="s">
        <v>4784</v>
      </c>
      <c r="G1468" t="s">
        <v>4761</v>
      </c>
      <c r="H1468" t="s">
        <v>78</v>
      </c>
      <c r="I1468" t="str">
        <f>"41017"</f>
        <v>41017</v>
      </c>
      <c r="J1468" t="s">
        <v>22</v>
      </c>
      <c r="K1468" t="s">
        <v>30</v>
      </c>
      <c r="L1468" s="2">
        <v>2994543</v>
      </c>
      <c r="M1468" s="2">
        <v>972171</v>
      </c>
      <c r="N1468" s="2">
        <v>0</v>
      </c>
      <c r="O1468" s="2">
        <v>241302</v>
      </c>
      <c r="P1468" t="s">
        <v>24</v>
      </c>
      <c r="Q1468" t="s">
        <v>24</v>
      </c>
    </row>
    <row r="1469" spans="1:17" x14ac:dyDescent="0.25">
      <c r="A1469" t="s">
        <v>955</v>
      </c>
      <c r="B1469" t="s">
        <v>956</v>
      </c>
      <c r="C1469" s="1">
        <v>41275</v>
      </c>
      <c r="D1469" s="1">
        <v>41639</v>
      </c>
      <c r="E1469" t="s">
        <v>957</v>
      </c>
      <c r="F1469" t="s">
        <v>958</v>
      </c>
      <c r="G1469" t="s">
        <v>246</v>
      </c>
      <c r="H1469" t="s">
        <v>29</v>
      </c>
      <c r="I1469" t="str">
        <f>"60540"</f>
        <v>60540</v>
      </c>
      <c r="J1469" t="s">
        <v>63</v>
      </c>
      <c r="K1469" t="s">
        <v>79</v>
      </c>
      <c r="L1469" s="2">
        <v>2990637</v>
      </c>
      <c r="M1469" s="2">
        <v>938085</v>
      </c>
      <c r="N1469" s="2">
        <v>121296</v>
      </c>
      <c r="O1469" s="2">
        <v>665952</v>
      </c>
      <c r="P1469" s="2">
        <v>95777</v>
      </c>
      <c r="Q1469" s="2">
        <v>285853</v>
      </c>
    </row>
    <row r="1470" spans="1:17" x14ac:dyDescent="0.25">
      <c r="A1470" t="s">
        <v>7273</v>
      </c>
      <c r="B1470" t="s">
        <v>7274</v>
      </c>
      <c r="C1470" s="1">
        <v>41275</v>
      </c>
      <c r="D1470" s="1">
        <v>41639</v>
      </c>
      <c r="E1470" t="s">
        <v>7275</v>
      </c>
      <c r="G1470" t="s">
        <v>28</v>
      </c>
      <c r="H1470" t="s">
        <v>29</v>
      </c>
      <c r="I1470" t="str">
        <f>"60614"</f>
        <v>60614</v>
      </c>
      <c r="J1470" t="s">
        <v>22</v>
      </c>
      <c r="K1470" t="s">
        <v>23</v>
      </c>
      <c r="L1470" s="2">
        <v>2988423</v>
      </c>
      <c r="M1470" s="2">
        <v>3431543</v>
      </c>
      <c r="N1470" s="2">
        <v>0</v>
      </c>
      <c r="O1470" s="2">
        <v>150000</v>
      </c>
      <c r="P1470" t="s">
        <v>24</v>
      </c>
      <c r="Q1470" t="s">
        <v>24</v>
      </c>
    </row>
    <row r="1471" spans="1:17" x14ac:dyDescent="0.25">
      <c r="A1471" t="s">
        <v>6391</v>
      </c>
      <c r="B1471" t="s">
        <v>6392</v>
      </c>
      <c r="C1471" s="1">
        <v>41275</v>
      </c>
      <c r="D1471" s="1">
        <v>41639</v>
      </c>
      <c r="E1471" t="s">
        <v>3623</v>
      </c>
      <c r="G1471" t="s">
        <v>3624</v>
      </c>
      <c r="H1471" t="s">
        <v>47</v>
      </c>
      <c r="I1471" t="str">
        <f>"48858"</f>
        <v>48858</v>
      </c>
      <c r="J1471" t="s">
        <v>22</v>
      </c>
      <c r="K1471" t="s">
        <v>23</v>
      </c>
      <c r="L1471" s="2">
        <v>2986358</v>
      </c>
      <c r="M1471" s="2">
        <v>2456144</v>
      </c>
      <c r="N1471" s="2">
        <v>0</v>
      </c>
      <c r="O1471" s="2">
        <v>126738</v>
      </c>
      <c r="P1471" t="s">
        <v>24</v>
      </c>
      <c r="Q1471" t="s">
        <v>24</v>
      </c>
    </row>
    <row r="1472" spans="1:17" x14ac:dyDescent="0.25">
      <c r="A1472" t="s">
        <v>1183</v>
      </c>
      <c r="B1472" t="s">
        <v>1184</v>
      </c>
      <c r="C1472" s="1">
        <v>41091</v>
      </c>
      <c r="D1472" s="1">
        <v>41455</v>
      </c>
      <c r="E1472" t="s">
        <v>1185</v>
      </c>
      <c r="G1472" t="s">
        <v>28</v>
      </c>
      <c r="H1472" t="s">
        <v>29</v>
      </c>
      <c r="I1472" t="str">
        <f>"60610"</f>
        <v>60610</v>
      </c>
      <c r="J1472" t="s">
        <v>22</v>
      </c>
      <c r="K1472" t="s">
        <v>23</v>
      </c>
      <c r="L1472" s="2">
        <v>2968936</v>
      </c>
      <c r="M1472" s="2">
        <v>527117</v>
      </c>
      <c r="N1472" s="2">
        <v>0</v>
      </c>
      <c r="O1472" s="2">
        <v>126637</v>
      </c>
      <c r="P1472" t="s">
        <v>24</v>
      </c>
      <c r="Q1472" t="s">
        <v>24</v>
      </c>
    </row>
    <row r="1473" spans="1:17" x14ac:dyDescent="0.25">
      <c r="A1473" t="s">
        <v>2563</v>
      </c>
      <c r="B1473" t="s">
        <v>2564</v>
      </c>
      <c r="C1473" s="1">
        <v>41244</v>
      </c>
      <c r="D1473" s="1">
        <v>41608</v>
      </c>
      <c r="E1473" t="s">
        <v>2565</v>
      </c>
      <c r="G1473" t="s">
        <v>28</v>
      </c>
      <c r="H1473" t="s">
        <v>29</v>
      </c>
      <c r="I1473" t="str">
        <f>"60606"</f>
        <v>60606</v>
      </c>
      <c r="J1473" t="s">
        <v>22</v>
      </c>
      <c r="K1473" t="s">
        <v>23</v>
      </c>
      <c r="L1473" s="2">
        <v>2956746</v>
      </c>
      <c r="M1473" s="2">
        <v>1060737</v>
      </c>
      <c r="N1473" s="2">
        <v>9644</v>
      </c>
      <c r="O1473" s="2">
        <v>190082</v>
      </c>
      <c r="P1473" t="s">
        <v>24</v>
      </c>
      <c r="Q1473" t="s">
        <v>24</v>
      </c>
    </row>
    <row r="1474" spans="1:17" x14ac:dyDescent="0.25">
      <c r="A1474" t="s">
        <v>7096</v>
      </c>
      <c r="B1474" t="s">
        <v>7097</v>
      </c>
      <c r="C1474" s="1">
        <v>41275</v>
      </c>
      <c r="D1474" s="1">
        <v>41639</v>
      </c>
      <c r="E1474" t="s">
        <v>7098</v>
      </c>
      <c r="G1474" t="s">
        <v>829</v>
      </c>
      <c r="H1474" t="s">
        <v>62</v>
      </c>
      <c r="I1474" t="str">
        <f>"43623"</f>
        <v>43623</v>
      </c>
      <c r="J1474" t="s">
        <v>22</v>
      </c>
      <c r="K1474" t="s">
        <v>30</v>
      </c>
      <c r="L1474" s="2">
        <v>2956517</v>
      </c>
      <c r="M1474" s="2">
        <v>1066824</v>
      </c>
      <c r="N1474" s="2">
        <v>400</v>
      </c>
      <c r="O1474" s="2">
        <v>166304</v>
      </c>
      <c r="P1474" t="s">
        <v>24</v>
      </c>
      <c r="Q1474" t="s">
        <v>24</v>
      </c>
    </row>
    <row r="1475" spans="1:17" x14ac:dyDescent="0.25">
      <c r="A1475" t="s">
        <v>116</v>
      </c>
      <c r="B1475" t="s">
        <v>117</v>
      </c>
      <c r="C1475" s="1">
        <v>41456</v>
      </c>
      <c r="D1475" s="1">
        <v>41820</v>
      </c>
      <c r="E1475" t="s">
        <v>118</v>
      </c>
      <c r="G1475" t="s">
        <v>119</v>
      </c>
      <c r="H1475" t="s">
        <v>29</v>
      </c>
      <c r="I1475" t="str">
        <f>"60089"</f>
        <v>60089</v>
      </c>
      <c r="J1475" t="s">
        <v>22</v>
      </c>
      <c r="K1475" t="s">
        <v>23</v>
      </c>
      <c r="L1475" s="2">
        <v>2955525</v>
      </c>
      <c r="M1475" s="2">
        <v>1128327</v>
      </c>
      <c r="N1475" s="2">
        <v>1455</v>
      </c>
      <c r="O1475" s="2">
        <v>140112</v>
      </c>
      <c r="P1475" t="s">
        <v>24</v>
      </c>
      <c r="Q1475" t="s">
        <v>24</v>
      </c>
    </row>
    <row r="1476" spans="1:17" x14ac:dyDescent="0.25">
      <c r="A1476" t="s">
        <v>446</v>
      </c>
      <c r="B1476" t="s">
        <v>447</v>
      </c>
      <c r="C1476" s="1">
        <v>41275</v>
      </c>
      <c r="D1476" s="1">
        <v>41639</v>
      </c>
      <c r="E1476" t="s">
        <v>236</v>
      </c>
      <c r="G1476" t="s">
        <v>237</v>
      </c>
      <c r="H1476" t="s">
        <v>42</v>
      </c>
      <c r="I1476" t="str">
        <f>"54601"</f>
        <v>54601</v>
      </c>
      <c r="J1476" t="s">
        <v>22</v>
      </c>
      <c r="K1476" t="s">
        <v>30</v>
      </c>
      <c r="L1476" s="2">
        <v>2955141</v>
      </c>
      <c r="M1476" s="2">
        <v>1397578</v>
      </c>
      <c r="N1476" s="2">
        <v>0</v>
      </c>
      <c r="O1476" s="2">
        <v>131029</v>
      </c>
      <c r="P1476" t="s">
        <v>24</v>
      </c>
      <c r="Q1476" t="s">
        <v>24</v>
      </c>
    </row>
    <row r="1477" spans="1:17" x14ac:dyDescent="0.25">
      <c r="A1477" t="s">
        <v>4322</v>
      </c>
      <c r="B1477" t="s">
        <v>4323</v>
      </c>
      <c r="C1477" s="1">
        <v>41275</v>
      </c>
      <c r="D1477" s="1">
        <v>41639</v>
      </c>
      <c r="E1477" t="s">
        <v>4324</v>
      </c>
      <c r="G1477" t="s">
        <v>627</v>
      </c>
      <c r="H1477" t="s">
        <v>29</v>
      </c>
      <c r="I1477" t="str">
        <f>"60201"</f>
        <v>60201</v>
      </c>
      <c r="J1477" t="s">
        <v>22</v>
      </c>
      <c r="K1477" t="s">
        <v>30</v>
      </c>
      <c r="L1477" s="2">
        <v>2953320</v>
      </c>
      <c r="M1477" s="2">
        <v>558712</v>
      </c>
      <c r="N1477" s="2">
        <v>0</v>
      </c>
      <c r="O1477" s="2">
        <v>248675</v>
      </c>
      <c r="P1477" t="s">
        <v>24</v>
      </c>
      <c r="Q1477" t="s">
        <v>24</v>
      </c>
    </row>
    <row r="1478" spans="1:17" x14ac:dyDescent="0.25">
      <c r="A1478" t="s">
        <v>1447</v>
      </c>
      <c r="B1478" t="s">
        <v>1448</v>
      </c>
      <c r="C1478" s="1">
        <v>41275</v>
      </c>
      <c r="D1478" s="1">
        <v>41639</v>
      </c>
      <c r="E1478" t="s">
        <v>1449</v>
      </c>
      <c r="G1478" t="s">
        <v>655</v>
      </c>
      <c r="H1478" t="s">
        <v>29</v>
      </c>
      <c r="I1478" t="str">
        <f>"60559"</f>
        <v>60559</v>
      </c>
      <c r="J1478" t="s">
        <v>22</v>
      </c>
      <c r="K1478" t="s">
        <v>30</v>
      </c>
      <c r="L1478" s="2">
        <v>2951488</v>
      </c>
      <c r="M1478" s="2">
        <v>3899266</v>
      </c>
      <c r="N1478" s="2">
        <v>5000</v>
      </c>
      <c r="O1478" s="2">
        <v>3250805</v>
      </c>
      <c r="P1478" t="s">
        <v>24</v>
      </c>
      <c r="Q1478" t="s">
        <v>24</v>
      </c>
    </row>
    <row r="1479" spans="1:17" x14ac:dyDescent="0.25">
      <c r="A1479" t="s">
        <v>6302</v>
      </c>
      <c r="B1479" t="s">
        <v>6303</v>
      </c>
      <c r="C1479" s="1">
        <v>41456</v>
      </c>
      <c r="D1479" s="1">
        <v>41820</v>
      </c>
      <c r="E1479" t="s">
        <v>6304</v>
      </c>
      <c r="G1479" t="s">
        <v>1028</v>
      </c>
      <c r="H1479" t="s">
        <v>47</v>
      </c>
      <c r="I1479" t="str">
        <f>"48103"</f>
        <v>48103</v>
      </c>
      <c r="J1479" t="s">
        <v>63</v>
      </c>
      <c r="K1479" t="s">
        <v>79</v>
      </c>
      <c r="L1479" s="2">
        <v>2949054</v>
      </c>
      <c r="M1479" s="2">
        <v>1632392</v>
      </c>
      <c r="N1479" s="2">
        <v>9837</v>
      </c>
      <c r="O1479" s="2">
        <v>1344880</v>
      </c>
      <c r="P1479" s="2">
        <v>0</v>
      </c>
      <c r="Q1479" s="2">
        <v>480710</v>
      </c>
    </row>
    <row r="1480" spans="1:17" x14ac:dyDescent="0.25">
      <c r="A1480" t="s">
        <v>2114</v>
      </c>
      <c r="B1480" t="s">
        <v>2115</v>
      </c>
      <c r="C1480" s="1">
        <v>41426</v>
      </c>
      <c r="D1480" s="1">
        <v>41790</v>
      </c>
      <c r="E1480" t="s">
        <v>2116</v>
      </c>
      <c r="G1480" t="s">
        <v>2117</v>
      </c>
      <c r="H1480" t="s">
        <v>47</v>
      </c>
      <c r="I1480" t="str">
        <f>"49799"</f>
        <v>49799</v>
      </c>
      <c r="J1480" t="s">
        <v>752</v>
      </c>
      <c r="K1480" t="s">
        <v>23</v>
      </c>
      <c r="L1480" s="2">
        <v>2948033</v>
      </c>
      <c r="M1480" s="2">
        <v>198437</v>
      </c>
      <c r="N1480" s="2">
        <v>2648</v>
      </c>
      <c r="O1480" s="2">
        <v>140382</v>
      </c>
      <c r="P1480" t="s">
        <v>24</v>
      </c>
      <c r="Q1480" t="s">
        <v>24</v>
      </c>
    </row>
    <row r="1481" spans="1:17" x14ac:dyDescent="0.25">
      <c r="A1481" t="s">
        <v>2556</v>
      </c>
      <c r="B1481" t="s">
        <v>2557</v>
      </c>
      <c r="C1481" s="1">
        <v>41275</v>
      </c>
      <c r="D1481" s="1">
        <v>41639</v>
      </c>
      <c r="E1481" t="s">
        <v>2558</v>
      </c>
      <c r="G1481" t="s">
        <v>2559</v>
      </c>
      <c r="H1481" t="s">
        <v>29</v>
      </c>
      <c r="I1481" t="str">
        <f>"61264"</f>
        <v>61264</v>
      </c>
      <c r="J1481" t="s">
        <v>22</v>
      </c>
      <c r="K1481" t="s">
        <v>30</v>
      </c>
      <c r="L1481" s="2">
        <v>2944413</v>
      </c>
      <c r="M1481" s="2">
        <v>91793</v>
      </c>
      <c r="N1481" s="2">
        <v>0</v>
      </c>
      <c r="O1481" s="2">
        <v>144049</v>
      </c>
      <c r="P1481" t="s">
        <v>24</v>
      </c>
      <c r="Q1481" t="s">
        <v>24</v>
      </c>
    </row>
    <row r="1482" spans="1:17" x14ac:dyDescent="0.25">
      <c r="A1482" t="s">
        <v>6058</v>
      </c>
      <c r="B1482" t="s">
        <v>6059</v>
      </c>
      <c r="C1482" s="1">
        <v>41275</v>
      </c>
      <c r="D1482" s="1">
        <v>41639</v>
      </c>
      <c r="E1482" t="s">
        <v>6060</v>
      </c>
      <c r="G1482" t="s">
        <v>337</v>
      </c>
      <c r="H1482" t="s">
        <v>62</v>
      </c>
      <c r="I1482" t="str">
        <f>"44114"</f>
        <v>44114</v>
      </c>
      <c r="J1482" t="s">
        <v>63</v>
      </c>
      <c r="K1482" t="s">
        <v>23</v>
      </c>
      <c r="L1482" s="2">
        <v>2938685</v>
      </c>
      <c r="M1482" s="2">
        <v>1654142</v>
      </c>
      <c r="N1482" s="2">
        <v>0</v>
      </c>
      <c r="O1482" s="2">
        <v>3548546</v>
      </c>
      <c r="P1482" s="2">
        <v>2512</v>
      </c>
      <c r="Q1482" t="s">
        <v>24</v>
      </c>
    </row>
    <row r="1483" spans="1:17" x14ac:dyDescent="0.25">
      <c r="A1483" t="s">
        <v>969</v>
      </c>
      <c r="B1483" t="s">
        <v>970</v>
      </c>
      <c r="C1483" s="1">
        <v>41275</v>
      </c>
      <c r="D1483" s="1">
        <v>41639</v>
      </c>
      <c r="E1483" t="s">
        <v>163</v>
      </c>
      <c r="G1483" t="s">
        <v>28</v>
      </c>
      <c r="H1483" t="s">
        <v>29</v>
      </c>
      <c r="I1483" t="str">
        <f>"60603"</f>
        <v>60603</v>
      </c>
      <c r="J1483" t="s">
        <v>22</v>
      </c>
      <c r="K1483" t="s">
        <v>23</v>
      </c>
      <c r="L1483" s="2">
        <v>2935662</v>
      </c>
      <c r="M1483" s="2">
        <v>134862</v>
      </c>
      <c r="N1483" s="2">
        <v>0</v>
      </c>
      <c r="O1483" s="2">
        <v>131791</v>
      </c>
      <c r="P1483" t="s">
        <v>24</v>
      </c>
      <c r="Q1483" t="s">
        <v>24</v>
      </c>
    </row>
    <row r="1484" spans="1:17" x14ac:dyDescent="0.25">
      <c r="A1484" t="s">
        <v>559</v>
      </c>
      <c r="B1484" t="s">
        <v>560</v>
      </c>
      <c r="C1484" s="1">
        <v>41275</v>
      </c>
      <c r="D1484" s="1">
        <v>41639</v>
      </c>
      <c r="E1484" t="s">
        <v>489</v>
      </c>
      <c r="G1484" t="s">
        <v>337</v>
      </c>
      <c r="H1484" t="s">
        <v>62</v>
      </c>
      <c r="I1484" t="str">
        <f>"44101"</f>
        <v>44101</v>
      </c>
      <c r="J1484" t="s">
        <v>22</v>
      </c>
      <c r="K1484" t="s">
        <v>23</v>
      </c>
      <c r="L1484" s="2">
        <v>2934725</v>
      </c>
      <c r="M1484" s="2">
        <v>551208</v>
      </c>
      <c r="N1484" s="2">
        <v>0</v>
      </c>
      <c r="O1484" s="2">
        <v>152632</v>
      </c>
      <c r="P1484" t="s">
        <v>24</v>
      </c>
      <c r="Q1484" t="s">
        <v>24</v>
      </c>
    </row>
    <row r="1485" spans="1:17" x14ac:dyDescent="0.25">
      <c r="A1485" t="s">
        <v>2514</v>
      </c>
      <c r="B1485" t="s">
        <v>2515</v>
      </c>
      <c r="C1485" s="1">
        <v>41275</v>
      </c>
      <c r="D1485" s="1">
        <v>41639</v>
      </c>
      <c r="E1485" t="s">
        <v>2516</v>
      </c>
      <c r="G1485" t="s">
        <v>2517</v>
      </c>
      <c r="H1485" t="s">
        <v>21</v>
      </c>
      <c r="I1485" t="str">
        <f>"46385"</f>
        <v>46385</v>
      </c>
      <c r="J1485" t="s">
        <v>22</v>
      </c>
      <c r="K1485" t="s">
        <v>23</v>
      </c>
      <c r="L1485" s="2">
        <v>2931010</v>
      </c>
      <c r="M1485" s="2">
        <v>1530992</v>
      </c>
      <c r="N1485" s="2">
        <v>0</v>
      </c>
      <c r="O1485" s="2">
        <v>212587</v>
      </c>
      <c r="P1485" t="s">
        <v>24</v>
      </c>
      <c r="Q1485" t="s">
        <v>24</v>
      </c>
    </row>
    <row r="1486" spans="1:17" x14ac:dyDescent="0.25">
      <c r="A1486" t="s">
        <v>3938</v>
      </c>
      <c r="B1486" t="s">
        <v>3939</v>
      </c>
      <c r="C1486" s="1">
        <v>41275</v>
      </c>
      <c r="D1486" s="1">
        <v>41639</v>
      </c>
      <c r="E1486" t="s">
        <v>3940</v>
      </c>
      <c r="G1486" t="s">
        <v>191</v>
      </c>
      <c r="H1486" t="s">
        <v>62</v>
      </c>
      <c r="I1486" t="str">
        <f>"44706"</f>
        <v>44706</v>
      </c>
      <c r="J1486" t="s">
        <v>22</v>
      </c>
      <c r="K1486" t="s">
        <v>23</v>
      </c>
      <c r="L1486" s="2">
        <v>2929838</v>
      </c>
      <c r="M1486" s="2">
        <v>460131</v>
      </c>
      <c r="N1486" s="2">
        <v>0</v>
      </c>
      <c r="O1486" s="2">
        <v>203705</v>
      </c>
      <c r="P1486" t="s">
        <v>24</v>
      </c>
      <c r="Q1486" t="s">
        <v>24</v>
      </c>
    </row>
    <row r="1487" spans="1:17" x14ac:dyDescent="0.25">
      <c r="A1487" t="s">
        <v>6177</v>
      </c>
      <c r="B1487" t="s">
        <v>6178</v>
      </c>
      <c r="C1487" s="1">
        <v>41275</v>
      </c>
      <c r="D1487" s="1">
        <v>41639</v>
      </c>
      <c r="E1487" t="s">
        <v>6179</v>
      </c>
      <c r="G1487" t="s">
        <v>357</v>
      </c>
      <c r="H1487" t="s">
        <v>21</v>
      </c>
      <c r="I1487" t="str">
        <f>"46804"</f>
        <v>46804</v>
      </c>
      <c r="J1487" t="s">
        <v>22</v>
      </c>
      <c r="K1487" t="s">
        <v>91</v>
      </c>
      <c r="L1487" s="2">
        <v>2929218</v>
      </c>
      <c r="M1487" s="2">
        <v>666237</v>
      </c>
      <c r="N1487" s="2">
        <v>4563202</v>
      </c>
      <c r="O1487" s="2">
        <v>3418543</v>
      </c>
      <c r="P1487" t="s">
        <v>24</v>
      </c>
      <c r="Q1487" t="s">
        <v>24</v>
      </c>
    </row>
    <row r="1488" spans="1:17" x14ac:dyDescent="0.25">
      <c r="A1488" t="s">
        <v>2346</v>
      </c>
      <c r="B1488" t="s">
        <v>2347</v>
      </c>
      <c r="C1488" s="1">
        <v>41275</v>
      </c>
      <c r="D1488" s="1">
        <v>41639</v>
      </c>
      <c r="E1488" t="s">
        <v>163</v>
      </c>
      <c r="G1488" t="s">
        <v>28</v>
      </c>
      <c r="H1488" t="s">
        <v>29</v>
      </c>
      <c r="I1488" t="str">
        <f>"60603"</f>
        <v>60603</v>
      </c>
      <c r="J1488" t="s">
        <v>22</v>
      </c>
      <c r="K1488" t="s">
        <v>23</v>
      </c>
      <c r="L1488" s="2">
        <v>2924569</v>
      </c>
      <c r="M1488" s="2">
        <v>1109424</v>
      </c>
      <c r="N1488" s="2">
        <v>0</v>
      </c>
      <c r="O1488" s="2">
        <v>134101</v>
      </c>
      <c r="P1488" t="s">
        <v>24</v>
      </c>
      <c r="Q1488" t="s">
        <v>24</v>
      </c>
    </row>
    <row r="1489" spans="1:17" x14ac:dyDescent="0.25">
      <c r="A1489" t="s">
        <v>725</v>
      </c>
      <c r="B1489" t="s">
        <v>726</v>
      </c>
      <c r="C1489" s="1">
        <v>41275</v>
      </c>
      <c r="D1489" s="1">
        <v>41639</v>
      </c>
      <c r="E1489" t="s">
        <v>727</v>
      </c>
      <c r="G1489" t="s">
        <v>307</v>
      </c>
      <c r="H1489" t="s">
        <v>29</v>
      </c>
      <c r="I1489" t="str">
        <f>"60093"</f>
        <v>60093</v>
      </c>
      <c r="J1489" t="s">
        <v>22</v>
      </c>
      <c r="K1489" t="s">
        <v>30</v>
      </c>
      <c r="L1489" s="2">
        <v>2924367</v>
      </c>
      <c r="M1489" s="2">
        <v>1044965</v>
      </c>
      <c r="N1489" s="2">
        <v>4260</v>
      </c>
      <c r="O1489" s="2">
        <v>183612</v>
      </c>
      <c r="P1489" t="s">
        <v>24</v>
      </c>
      <c r="Q1489" t="s">
        <v>24</v>
      </c>
    </row>
    <row r="1490" spans="1:17" x14ac:dyDescent="0.25">
      <c r="A1490" t="s">
        <v>216</v>
      </c>
      <c r="B1490" t="s">
        <v>217</v>
      </c>
      <c r="C1490" s="1">
        <v>41275</v>
      </c>
      <c r="D1490" s="1">
        <v>41639</v>
      </c>
      <c r="E1490" t="s">
        <v>218</v>
      </c>
      <c r="G1490" t="s">
        <v>219</v>
      </c>
      <c r="H1490" t="s">
        <v>62</v>
      </c>
      <c r="I1490" t="str">
        <f>"45140"</f>
        <v>45140</v>
      </c>
      <c r="J1490" t="s">
        <v>22</v>
      </c>
      <c r="K1490" t="s">
        <v>23</v>
      </c>
      <c r="L1490" s="2">
        <v>2922411</v>
      </c>
      <c r="M1490" s="2">
        <v>489486</v>
      </c>
      <c r="N1490" s="2">
        <v>0</v>
      </c>
      <c r="O1490" s="2">
        <v>299722</v>
      </c>
      <c r="P1490" t="s">
        <v>24</v>
      </c>
      <c r="Q1490" t="s">
        <v>24</v>
      </c>
    </row>
    <row r="1491" spans="1:17" x14ac:dyDescent="0.25">
      <c r="A1491" t="s">
        <v>5515</v>
      </c>
      <c r="B1491" t="s">
        <v>5516</v>
      </c>
      <c r="C1491" s="1">
        <v>41275</v>
      </c>
      <c r="D1491" s="1">
        <v>41639</v>
      </c>
      <c r="E1491" t="s">
        <v>5517</v>
      </c>
      <c r="G1491" t="s">
        <v>5195</v>
      </c>
      <c r="H1491" t="s">
        <v>21</v>
      </c>
      <c r="I1491" t="str">
        <f>"47240"</f>
        <v>47240</v>
      </c>
      <c r="J1491" t="s">
        <v>22</v>
      </c>
      <c r="K1491" t="s">
        <v>23</v>
      </c>
      <c r="L1491" s="2">
        <v>2916304</v>
      </c>
      <c r="M1491" s="2">
        <v>184421</v>
      </c>
      <c r="N1491" s="2">
        <v>0</v>
      </c>
      <c r="O1491" s="2">
        <v>135516</v>
      </c>
      <c r="P1491" t="s">
        <v>24</v>
      </c>
      <c r="Q1491" t="s">
        <v>24</v>
      </c>
    </row>
    <row r="1492" spans="1:17" x14ac:dyDescent="0.25">
      <c r="A1492" t="s">
        <v>3203</v>
      </c>
      <c r="B1492" t="s">
        <v>3204</v>
      </c>
      <c r="C1492" s="1">
        <v>41275</v>
      </c>
      <c r="D1492" s="1">
        <v>41639</v>
      </c>
      <c r="E1492" t="s">
        <v>3205</v>
      </c>
      <c r="G1492" t="s">
        <v>1437</v>
      </c>
      <c r="H1492" t="s">
        <v>29</v>
      </c>
      <c r="I1492" t="str">
        <f>"60077"</f>
        <v>60077</v>
      </c>
      <c r="J1492" t="s">
        <v>22</v>
      </c>
      <c r="K1492" t="s">
        <v>30</v>
      </c>
      <c r="L1492" s="2">
        <v>2915416</v>
      </c>
      <c r="M1492" s="2">
        <v>1372423</v>
      </c>
      <c r="N1492" s="2">
        <v>0</v>
      </c>
      <c r="O1492" s="2">
        <v>184106</v>
      </c>
      <c r="P1492" t="s">
        <v>24</v>
      </c>
      <c r="Q1492" t="s">
        <v>24</v>
      </c>
    </row>
    <row r="1493" spans="1:17" x14ac:dyDescent="0.25">
      <c r="A1493" t="s">
        <v>5761</v>
      </c>
      <c r="B1493" t="s">
        <v>5762</v>
      </c>
      <c r="C1493" s="1">
        <v>41275</v>
      </c>
      <c r="D1493" s="1">
        <v>41639</v>
      </c>
      <c r="E1493" t="s">
        <v>5763</v>
      </c>
      <c r="G1493" t="s">
        <v>28</v>
      </c>
      <c r="H1493" t="s">
        <v>29</v>
      </c>
      <c r="I1493" t="str">
        <f>"60611"</f>
        <v>60611</v>
      </c>
      <c r="J1493" t="s">
        <v>22</v>
      </c>
      <c r="K1493" t="s">
        <v>30</v>
      </c>
      <c r="L1493" s="2">
        <v>2914179</v>
      </c>
      <c r="M1493" s="2">
        <v>1262771</v>
      </c>
      <c r="N1493" s="2">
        <v>0</v>
      </c>
      <c r="O1493" s="2">
        <v>839672</v>
      </c>
      <c r="P1493" t="s">
        <v>24</v>
      </c>
      <c r="Q1493" t="s">
        <v>24</v>
      </c>
    </row>
    <row r="1494" spans="1:17" x14ac:dyDescent="0.25">
      <c r="A1494" t="s">
        <v>3382</v>
      </c>
      <c r="B1494" t="s">
        <v>3383</v>
      </c>
      <c r="C1494" s="1">
        <v>41548</v>
      </c>
      <c r="D1494" s="1">
        <v>41912</v>
      </c>
      <c r="E1494" t="s">
        <v>146</v>
      </c>
      <c r="G1494" t="s">
        <v>147</v>
      </c>
      <c r="H1494" t="s">
        <v>62</v>
      </c>
      <c r="I1494" t="str">
        <f>"44308"</f>
        <v>44308</v>
      </c>
      <c r="J1494" t="s">
        <v>22</v>
      </c>
      <c r="K1494" t="s">
        <v>30</v>
      </c>
      <c r="L1494" s="2">
        <v>2906443</v>
      </c>
      <c r="M1494" s="2">
        <v>379470</v>
      </c>
      <c r="N1494" s="2">
        <v>0</v>
      </c>
      <c r="O1494" s="2">
        <v>171067</v>
      </c>
      <c r="P1494" t="s">
        <v>24</v>
      </c>
      <c r="Q1494" t="s">
        <v>24</v>
      </c>
    </row>
    <row r="1495" spans="1:17" x14ac:dyDescent="0.25">
      <c r="A1495" t="s">
        <v>4715</v>
      </c>
      <c r="B1495" t="s">
        <v>4716</v>
      </c>
      <c r="C1495" s="1">
        <v>40909</v>
      </c>
      <c r="D1495" s="1">
        <v>41274</v>
      </c>
      <c r="E1495" t="s">
        <v>4717</v>
      </c>
      <c r="G1495" t="s">
        <v>4718</v>
      </c>
      <c r="H1495" t="s">
        <v>62</v>
      </c>
      <c r="I1495" t="str">
        <f>"45817"</f>
        <v>45817</v>
      </c>
      <c r="J1495" t="s">
        <v>63</v>
      </c>
      <c r="K1495" t="s">
        <v>30</v>
      </c>
      <c r="L1495" s="2">
        <v>2905795</v>
      </c>
      <c r="M1495" s="2">
        <v>134780</v>
      </c>
      <c r="N1495" s="2">
        <v>0</v>
      </c>
      <c r="O1495" s="2">
        <v>36587</v>
      </c>
      <c r="P1495" s="2">
        <v>0</v>
      </c>
      <c r="Q1495" s="2">
        <v>0</v>
      </c>
    </row>
    <row r="1496" spans="1:17" x14ac:dyDescent="0.25">
      <c r="A1496" t="s">
        <v>609</v>
      </c>
      <c r="B1496" t="s">
        <v>610</v>
      </c>
      <c r="C1496" s="1">
        <v>41275</v>
      </c>
      <c r="D1496" s="1">
        <v>41639</v>
      </c>
      <c r="E1496" t="s">
        <v>611</v>
      </c>
      <c r="G1496" t="s">
        <v>612</v>
      </c>
      <c r="H1496" t="s">
        <v>42</v>
      </c>
      <c r="I1496" t="str">
        <f>"53092"</f>
        <v>53092</v>
      </c>
      <c r="J1496" t="s">
        <v>63</v>
      </c>
      <c r="K1496" t="s">
        <v>23</v>
      </c>
      <c r="L1496" s="2">
        <v>2901563</v>
      </c>
      <c r="M1496" s="2">
        <v>540067</v>
      </c>
      <c r="N1496" s="2">
        <v>1200000</v>
      </c>
      <c r="O1496" s="2">
        <v>107053</v>
      </c>
      <c r="P1496" s="2">
        <v>7820</v>
      </c>
      <c r="Q1496" s="2">
        <v>6433</v>
      </c>
    </row>
    <row r="1497" spans="1:17" x14ac:dyDescent="0.25">
      <c r="A1497" t="s">
        <v>2960</v>
      </c>
      <c r="B1497" t="s">
        <v>2961</v>
      </c>
      <c r="C1497" s="1">
        <v>41275</v>
      </c>
      <c r="D1497" s="1">
        <v>41639</v>
      </c>
      <c r="E1497" t="s">
        <v>2962</v>
      </c>
      <c r="G1497" t="s">
        <v>2963</v>
      </c>
      <c r="H1497" t="s">
        <v>21</v>
      </c>
      <c r="I1497" t="str">
        <f>"47122"</f>
        <v>47122</v>
      </c>
      <c r="J1497" t="s">
        <v>22</v>
      </c>
      <c r="K1497" t="s">
        <v>30</v>
      </c>
      <c r="L1497" s="2">
        <v>2899730</v>
      </c>
      <c r="M1497" s="2">
        <v>763309</v>
      </c>
      <c r="N1497" s="2">
        <v>0</v>
      </c>
      <c r="O1497" s="2">
        <v>149846</v>
      </c>
      <c r="P1497" t="s">
        <v>24</v>
      </c>
      <c r="Q1497" t="s">
        <v>24</v>
      </c>
    </row>
    <row r="1498" spans="1:17" x14ac:dyDescent="0.25">
      <c r="A1498" t="s">
        <v>4217</v>
      </c>
      <c r="B1498" t="s">
        <v>4218</v>
      </c>
      <c r="C1498" s="1">
        <v>41275</v>
      </c>
      <c r="D1498" s="1">
        <v>41639</v>
      </c>
      <c r="E1498" t="s">
        <v>53</v>
      </c>
      <c r="G1498" t="s">
        <v>28</v>
      </c>
      <c r="H1498" t="s">
        <v>29</v>
      </c>
      <c r="I1498" t="str">
        <f>"60603"</f>
        <v>60603</v>
      </c>
      <c r="J1498" t="s">
        <v>22</v>
      </c>
      <c r="K1498" t="s">
        <v>23</v>
      </c>
      <c r="L1498" s="2">
        <v>2897694</v>
      </c>
      <c r="M1498" s="2">
        <v>2911331</v>
      </c>
      <c r="N1498" s="2">
        <v>0</v>
      </c>
      <c r="O1498" s="2">
        <v>397437</v>
      </c>
      <c r="P1498" t="s">
        <v>24</v>
      </c>
      <c r="Q1498" t="s">
        <v>24</v>
      </c>
    </row>
    <row r="1499" spans="1:17" x14ac:dyDescent="0.25">
      <c r="A1499" t="s">
        <v>6264</v>
      </c>
      <c r="B1499" t="s">
        <v>6265</v>
      </c>
      <c r="C1499" s="1">
        <v>41456</v>
      </c>
      <c r="D1499" s="1">
        <v>41820</v>
      </c>
      <c r="E1499" t="s">
        <v>19</v>
      </c>
      <c r="G1499" t="s">
        <v>20</v>
      </c>
      <c r="H1499" t="s">
        <v>21</v>
      </c>
      <c r="I1499" t="str">
        <f>"46240"</f>
        <v>46240</v>
      </c>
      <c r="J1499" t="s">
        <v>22</v>
      </c>
      <c r="K1499" t="s">
        <v>23</v>
      </c>
      <c r="L1499" s="2">
        <v>2895429</v>
      </c>
      <c r="M1499" s="2">
        <v>1531329</v>
      </c>
      <c r="N1499" s="2">
        <v>0</v>
      </c>
      <c r="O1499" s="2">
        <v>1228745</v>
      </c>
      <c r="P1499" t="s">
        <v>24</v>
      </c>
      <c r="Q1499" t="s">
        <v>24</v>
      </c>
    </row>
    <row r="1500" spans="1:17" x14ac:dyDescent="0.25">
      <c r="A1500" t="s">
        <v>3618</v>
      </c>
      <c r="B1500" t="s">
        <v>3619</v>
      </c>
      <c r="C1500" s="1">
        <v>41275</v>
      </c>
      <c r="D1500" s="1">
        <v>41639</v>
      </c>
      <c r="E1500" t="s">
        <v>3620</v>
      </c>
      <c r="G1500" t="s">
        <v>858</v>
      </c>
      <c r="H1500" t="s">
        <v>29</v>
      </c>
      <c r="I1500" t="str">
        <f>"60187"</f>
        <v>60187</v>
      </c>
      <c r="J1500" t="s">
        <v>22</v>
      </c>
      <c r="K1500" t="s">
        <v>23</v>
      </c>
      <c r="L1500" s="2">
        <v>2895274</v>
      </c>
      <c r="M1500" s="2">
        <v>1438137</v>
      </c>
      <c r="N1500" s="2">
        <v>0</v>
      </c>
      <c r="O1500" s="2">
        <v>182251</v>
      </c>
      <c r="P1500" t="s">
        <v>24</v>
      </c>
      <c r="Q1500" t="s">
        <v>24</v>
      </c>
    </row>
    <row r="1501" spans="1:17" x14ac:dyDescent="0.25">
      <c r="A1501" t="s">
        <v>417</v>
      </c>
      <c r="B1501" t="s">
        <v>418</v>
      </c>
      <c r="C1501" s="1">
        <v>40909</v>
      </c>
      <c r="D1501" s="1">
        <v>41274</v>
      </c>
      <c r="E1501" t="s">
        <v>419</v>
      </c>
      <c r="G1501" t="s">
        <v>420</v>
      </c>
      <c r="H1501" t="s">
        <v>21</v>
      </c>
      <c r="I1501" t="str">
        <f>"46321"</f>
        <v>46321</v>
      </c>
      <c r="J1501" t="s">
        <v>22</v>
      </c>
      <c r="K1501" t="s">
        <v>23</v>
      </c>
      <c r="L1501" s="2">
        <v>2893403</v>
      </c>
      <c r="M1501" s="2">
        <v>3551953</v>
      </c>
      <c r="N1501" s="2">
        <v>0</v>
      </c>
      <c r="O1501" s="2">
        <v>142196</v>
      </c>
      <c r="P1501" t="s">
        <v>24</v>
      </c>
      <c r="Q1501" t="s">
        <v>24</v>
      </c>
    </row>
    <row r="1502" spans="1:17" x14ac:dyDescent="0.25">
      <c r="A1502" t="s">
        <v>3501</v>
      </c>
      <c r="B1502" t="s">
        <v>3502</v>
      </c>
      <c r="C1502" s="1">
        <v>40909</v>
      </c>
      <c r="D1502" s="1">
        <v>41274</v>
      </c>
      <c r="E1502" t="s">
        <v>142</v>
      </c>
      <c r="G1502" t="s">
        <v>143</v>
      </c>
      <c r="H1502" t="s">
        <v>47</v>
      </c>
      <c r="I1502" t="str">
        <f>"48275"</f>
        <v>48275</v>
      </c>
      <c r="J1502" t="s">
        <v>22</v>
      </c>
      <c r="K1502" t="s">
        <v>30</v>
      </c>
      <c r="L1502" s="2">
        <v>2890291</v>
      </c>
      <c r="M1502" s="2">
        <v>1661403</v>
      </c>
      <c r="N1502" s="2">
        <v>0</v>
      </c>
      <c r="O1502" s="2">
        <v>144709</v>
      </c>
      <c r="P1502" t="s">
        <v>24</v>
      </c>
      <c r="Q1502" t="s">
        <v>24</v>
      </c>
    </row>
    <row r="1503" spans="1:17" x14ac:dyDescent="0.25">
      <c r="A1503" t="s">
        <v>4038</v>
      </c>
      <c r="B1503" t="s">
        <v>4039</v>
      </c>
      <c r="C1503" s="1">
        <v>41275</v>
      </c>
      <c r="D1503" s="1">
        <v>41639</v>
      </c>
      <c r="E1503" t="s">
        <v>4040</v>
      </c>
      <c r="G1503" t="s">
        <v>57</v>
      </c>
      <c r="H1503" t="s">
        <v>29</v>
      </c>
      <c r="I1503" t="str">
        <f>"60523"</f>
        <v>60523</v>
      </c>
      <c r="J1503" t="s">
        <v>22</v>
      </c>
      <c r="K1503" t="s">
        <v>23</v>
      </c>
      <c r="L1503" s="2">
        <v>2890180</v>
      </c>
      <c r="M1503" s="2">
        <v>368484</v>
      </c>
      <c r="N1503" s="2">
        <v>0</v>
      </c>
      <c r="O1503" s="2">
        <v>143684</v>
      </c>
      <c r="P1503" t="s">
        <v>24</v>
      </c>
      <c r="Q1503" t="s">
        <v>24</v>
      </c>
    </row>
    <row r="1504" spans="1:17" x14ac:dyDescent="0.25">
      <c r="A1504" t="s">
        <v>1721</v>
      </c>
      <c r="B1504" t="s">
        <v>1722</v>
      </c>
      <c r="C1504" s="1">
        <v>40909</v>
      </c>
      <c r="D1504" s="1">
        <v>41274</v>
      </c>
      <c r="E1504" t="s">
        <v>50</v>
      </c>
      <c r="G1504" t="s">
        <v>28</v>
      </c>
      <c r="H1504" t="s">
        <v>29</v>
      </c>
      <c r="I1504" t="str">
        <f>"60603"</f>
        <v>60603</v>
      </c>
      <c r="J1504" t="s">
        <v>22</v>
      </c>
      <c r="K1504" t="s">
        <v>30</v>
      </c>
      <c r="L1504" s="2">
        <v>2883316</v>
      </c>
      <c r="M1504" s="2">
        <v>1531041</v>
      </c>
      <c r="N1504" s="2">
        <v>0</v>
      </c>
      <c r="O1504" s="2">
        <v>140578</v>
      </c>
      <c r="P1504" t="s">
        <v>24</v>
      </c>
      <c r="Q1504" t="s">
        <v>24</v>
      </c>
    </row>
    <row r="1505" spans="1:17" x14ac:dyDescent="0.25">
      <c r="A1505" t="s">
        <v>3212</v>
      </c>
      <c r="B1505" t="s">
        <v>3213</v>
      </c>
      <c r="C1505" s="1">
        <v>41275</v>
      </c>
      <c r="D1505" s="1">
        <v>41639</v>
      </c>
      <c r="E1505" t="s">
        <v>3214</v>
      </c>
      <c r="G1505" t="s">
        <v>3215</v>
      </c>
      <c r="H1505" t="s">
        <v>47</v>
      </c>
      <c r="I1505" t="str">
        <f>"49627"</f>
        <v>49627</v>
      </c>
      <c r="J1505" t="s">
        <v>22</v>
      </c>
      <c r="K1505" t="s">
        <v>23</v>
      </c>
      <c r="L1505" s="2">
        <v>2880277</v>
      </c>
      <c r="M1505" s="2">
        <v>876475</v>
      </c>
      <c r="N1505" s="2">
        <v>0</v>
      </c>
      <c r="O1505" s="2">
        <v>163726</v>
      </c>
      <c r="P1505" t="s">
        <v>24</v>
      </c>
      <c r="Q1505" t="s">
        <v>24</v>
      </c>
    </row>
    <row r="1506" spans="1:17" x14ac:dyDescent="0.25">
      <c r="A1506" t="s">
        <v>3194</v>
      </c>
      <c r="B1506" t="s">
        <v>3195</v>
      </c>
      <c r="C1506" s="1">
        <v>41275</v>
      </c>
      <c r="D1506" s="1">
        <v>41639</v>
      </c>
      <c r="E1506" t="s">
        <v>3196</v>
      </c>
      <c r="G1506" t="s">
        <v>357</v>
      </c>
      <c r="H1506" t="s">
        <v>21</v>
      </c>
      <c r="I1506" t="str">
        <f>"46855"</f>
        <v>46855</v>
      </c>
      <c r="J1506" t="s">
        <v>22</v>
      </c>
      <c r="K1506" t="s">
        <v>91</v>
      </c>
      <c r="L1506" s="2">
        <v>2877598</v>
      </c>
      <c r="M1506" s="2">
        <v>4021067</v>
      </c>
      <c r="N1506" s="2">
        <v>0</v>
      </c>
      <c r="O1506" s="2">
        <v>414821</v>
      </c>
      <c r="P1506" t="s">
        <v>24</v>
      </c>
      <c r="Q1506" t="s">
        <v>24</v>
      </c>
    </row>
    <row r="1507" spans="1:17" x14ac:dyDescent="0.25">
      <c r="A1507" t="s">
        <v>3531</v>
      </c>
      <c r="B1507" t="s">
        <v>3532</v>
      </c>
      <c r="C1507" s="1">
        <v>41275</v>
      </c>
      <c r="D1507" s="1">
        <v>41639</v>
      </c>
      <c r="E1507" t="s">
        <v>3533</v>
      </c>
      <c r="G1507" t="s">
        <v>3534</v>
      </c>
      <c r="H1507" t="s">
        <v>62</v>
      </c>
      <c r="I1507" t="str">
        <f>"45242"</f>
        <v>45242</v>
      </c>
      <c r="J1507" t="s">
        <v>22</v>
      </c>
      <c r="K1507" t="s">
        <v>30</v>
      </c>
      <c r="L1507" s="2">
        <v>2877157</v>
      </c>
      <c r="M1507" s="2">
        <v>1213609</v>
      </c>
      <c r="N1507" s="2">
        <v>0</v>
      </c>
      <c r="O1507" s="2">
        <v>212077</v>
      </c>
      <c r="P1507" t="s">
        <v>24</v>
      </c>
      <c r="Q1507" t="s">
        <v>24</v>
      </c>
    </row>
    <row r="1508" spans="1:17" x14ac:dyDescent="0.25">
      <c r="A1508" t="s">
        <v>2779</v>
      </c>
      <c r="B1508" t="s">
        <v>2780</v>
      </c>
      <c r="C1508" s="1">
        <v>41275</v>
      </c>
      <c r="D1508" s="1">
        <v>41639</v>
      </c>
      <c r="E1508" t="s">
        <v>2781</v>
      </c>
      <c r="G1508" t="s">
        <v>307</v>
      </c>
      <c r="H1508" t="s">
        <v>29</v>
      </c>
      <c r="I1508" t="str">
        <f>"60093"</f>
        <v>60093</v>
      </c>
      <c r="J1508" t="s">
        <v>22</v>
      </c>
      <c r="K1508" t="s">
        <v>30</v>
      </c>
      <c r="L1508" s="2">
        <v>2873302</v>
      </c>
      <c r="M1508" s="2">
        <v>816517</v>
      </c>
      <c r="N1508" s="2">
        <v>0</v>
      </c>
      <c r="O1508" s="2">
        <v>156417</v>
      </c>
      <c r="P1508" t="s">
        <v>24</v>
      </c>
      <c r="Q1508" t="s">
        <v>24</v>
      </c>
    </row>
    <row r="1509" spans="1:17" x14ac:dyDescent="0.25">
      <c r="A1509" t="s">
        <v>3221</v>
      </c>
      <c r="B1509" t="s">
        <v>3222</v>
      </c>
      <c r="C1509" s="1">
        <v>41275</v>
      </c>
      <c r="D1509" s="1">
        <v>41639</v>
      </c>
      <c r="E1509" t="s">
        <v>3223</v>
      </c>
      <c r="G1509" t="s">
        <v>28</v>
      </c>
      <c r="H1509" t="s">
        <v>29</v>
      </c>
      <c r="I1509" t="str">
        <f>"60611"</f>
        <v>60611</v>
      </c>
      <c r="J1509" t="s">
        <v>22</v>
      </c>
      <c r="K1509" t="s">
        <v>23</v>
      </c>
      <c r="L1509" s="2">
        <v>2872629</v>
      </c>
      <c r="M1509" s="2">
        <v>982025</v>
      </c>
      <c r="N1509" s="2">
        <v>0</v>
      </c>
      <c r="O1509" s="2">
        <v>188326</v>
      </c>
      <c r="P1509" t="s">
        <v>24</v>
      </c>
      <c r="Q1509" t="s">
        <v>24</v>
      </c>
    </row>
    <row r="1510" spans="1:17" x14ac:dyDescent="0.25">
      <c r="A1510" t="s">
        <v>6455</v>
      </c>
      <c r="B1510" t="s">
        <v>6456</v>
      </c>
      <c r="C1510" s="1">
        <v>41275</v>
      </c>
      <c r="D1510" s="1">
        <v>41639</v>
      </c>
      <c r="E1510" t="s">
        <v>6457</v>
      </c>
      <c r="G1510" t="s">
        <v>167</v>
      </c>
      <c r="H1510" t="s">
        <v>62</v>
      </c>
      <c r="I1510" t="str">
        <f>"45224"</f>
        <v>45224</v>
      </c>
      <c r="J1510" t="s">
        <v>63</v>
      </c>
      <c r="K1510" t="s">
        <v>30</v>
      </c>
      <c r="L1510" s="2">
        <v>2868507</v>
      </c>
      <c r="M1510" s="2">
        <v>1355582</v>
      </c>
      <c r="N1510" s="2">
        <v>456446</v>
      </c>
      <c r="O1510" s="2">
        <v>1405199</v>
      </c>
      <c r="P1510" s="2">
        <v>657579</v>
      </c>
      <c r="Q1510" s="2">
        <v>15734</v>
      </c>
    </row>
    <row r="1511" spans="1:17" x14ac:dyDescent="0.25">
      <c r="A1511" t="s">
        <v>4389</v>
      </c>
      <c r="B1511" t="s">
        <v>4390</v>
      </c>
      <c r="C1511" s="1">
        <v>40909</v>
      </c>
      <c r="D1511" s="1">
        <v>41274</v>
      </c>
      <c r="E1511" t="s">
        <v>4391</v>
      </c>
      <c r="G1511" t="s">
        <v>1386</v>
      </c>
      <c r="H1511" t="s">
        <v>47</v>
      </c>
      <c r="I1511" t="str">
        <f>"48507"</f>
        <v>48507</v>
      </c>
      <c r="J1511" t="s">
        <v>22</v>
      </c>
      <c r="K1511" t="s">
        <v>23</v>
      </c>
      <c r="L1511" s="2">
        <v>2864632</v>
      </c>
      <c r="M1511" s="2">
        <v>1467895</v>
      </c>
      <c r="N1511" s="2">
        <v>3615</v>
      </c>
      <c r="O1511" s="2">
        <v>340174</v>
      </c>
      <c r="P1511" t="s">
        <v>24</v>
      </c>
      <c r="Q1511" t="s">
        <v>24</v>
      </c>
    </row>
    <row r="1512" spans="1:17" x14ac:dyDescent="0.25">
      <c r="A1512" t="s">
        <v>4406</v>
      </c>
      <c r="B1512" t="s">
        <v>4407</v>
      </c>
      <c r="C1512" s="1">
        <v>41091</v>
      </c>
      <c r="D1512" s="1">
        <v>41455</v>
      </c>
      <c r="E1512" t="s">
        <v>4408</v>
      </c>
      <c r="G1512" t="s">
        <v>1316</v>
      </c>
      <c r="H1512" t="s">
        <v>21</v>
      </c>
      <c r="I1512" t="str">
        <f>"47842"</f>
        <v>47842</v>
      </c>
      <c r="J1512" t="s">
        <v>63</v>
      </c>
      <c r="K1512" t="s">
        <v>64</v>
      </c>
      <c r="L1512" s="2">
        <v>2861858</v>
      </c>
      <c r="M1512" s="2">
        <v>289886</v>
      </c>
      <c r="N1512" s="2">
        <v>8030</v>
      </c>
      <c r="O1512" s="2">
        <v>245330</v>
      </c>
      <c r="P1512" s="2">
        <v>77894</v>
      </c>
      <c r="Q1512" s="2">
        <v>0</v>
      </c>
    </row>
    <row r="1513" spans="1:17" x14ac:dyDescent="0.25">
      <c r="A1513" t="s">
        <v>7770</v>
      </c>
      <c r="B1513" t="s">
        <v>7771</v>
      </c>
      <c r="C1513" s="1">
        <v>41275</v>
      </c>
      <c r="D1513" s="1">
        <v>41639</v>
      </c>
      <c r="E1513" t="s">
        <v>3321</v>
      </c>
      <c r="G1513" t="s">
        <v>353</v>
      </c>
      <c r="H1513" t="s">
        <v>62</v>
      </c>
      <c r="I1513" t="str">
        <f>"43216"</f>
        <v>43216</v>
      </c>
      <c r="J1513" t="s">
        <v>22</v>
      </c>
      <c r="K1513" t="s">
        <v>30</v>
      </c>
      <c r="L1513" s="2">
        <v>2849070</v>
      </c>
      <c r="M1513" s="2">
        <v>1146032</v>
      </c>
      <c r="N1513" s="2">
        <v>0</v>
      </c>
      <c r="O1513" s="2">
        <v>159845</v>
      </c>
      <c r="P1513" t="s">
        <v>24</v>
      </c>
      <c r="Q1513" t="s">
        <v>24</v>
      </c>
    </row>
    <row r="1514" spans="1:17" x14ac:dyDescent="0.25">
      <c r="A1514" t="s">
        <v>4889</v>
      </c>
      <c r="B1514" t="s">
        <v>4890</v>
      </c>
      <c r="C1514" s="1">
        <v>41061</v>
      </c>
      <c r="D1514" s="1">
        <v>41425</v>
      </c>
      <c r="E1514" t="s">
        <v>4891</v>
      </c>
      <c r="G1514" t="s">
        <v>2339</v>
      </c>
      <c r="H1514" t="s">
        <v>42</v>
      </c>
      <c r="I1514" t="str">
        <f>"53222"</f>
        <v>53222</v>
      </c>
      <c r="J1514" t="s">
        <v>63</v>
      </c>
      <c r="K1514" t="s">
        <v>79</v>
      </c>
      <c r="L1514" s="2">
        <v>2844451</v>
      </c>
      <c r="M1514" s="2">
        <v>3126617</v>
      </c>
      <c r="N1514" s="2">
        <v>93719</v>
      </c>
      <c r="O1514" s="2">
        <v>3708191</v>
      </c>
      <c r="P1514" s="2">
        <v>29057</v>
      </c>
      <c r="Q1514" s="2">
        <v>49862</v>
      </c>
    </row>
    <row r="1515" spans="1:17" x14ac:dyDescent="0.25">
      <c r="A1515" t="s">
        <v>5153</v>
      </c>
      <c r="B1515" t="s">
        <v>5154</v>
      </c>
      <c r="C1515" s="1">
        <v>41275</v>
      </c>
      <c r="D1515" s="1">
        <v>41639</v>
      </c>
      <c r="E1515" t="s">
        <v>5155</v>
      </c>
      <c r="G1515" t="s">
        <v>401</v>
      </c>
      <c r="H1515" t="s">
        <v>47</v>
      </c>
      <c r="I1515" t="str">
        <f>"48640"</f>
        <v>48640</v>
      </c>
      <c r="J1515" t="s">
        <v>22</v>
      </c>
      <c r="K1515" t="s">
        <v>30</v>
      </c>
      <c r="L1515" s="2">
        <v>2842832</v>
      </c>
      <c r="M1515" s="2">
        <v>470703</v>
      </c>
      <c r="N1515" s="2">
        <v>0</v>
      </c>
      <c r="O1515" s="2">
        <v>203920</v>
      </c>
      <c r="P1515" t="s">
        <v>24</v>
      </c>
      <c r="Q1515" t="s">
        <v>24</v>
      </c>
    </row>
    <row r="1516" spans="1:17" x14ac:dyDescent="0.25">
      <c r="A1516" t="s">
        <v>840</v>
      </c>
      <c r="B1516" t="s">
        <v>841</v>
      </c>
      <c r="C1516" s="1">
        <v>41275</v>
      </c>
      <c r="D1516" s="1">
        <v>41639</v>
      </c>
      <c r="E1516" t="s">
        <v>842</v>
      </c>
      <c r="G1516" t="s">
        <v>843</v>
      </c>
      <c r="H1516" t="s">
        <v>29</v>
      </c>
      <c r="I1516" t="str">
        <f>"61108"</f>
        <v>61108</v>
      </c>
      <c r="J1516" t="s">
        <v>22</v>
      </c>
      <c r="K1516" t="s">
        <v>30</v>
      </c>
      <c r="L1516" s="2">
        <v>2842153</v>
      </c>
      <c r="M1516" s="2">
        <v>194210</v>
      </c>
      <c r="N1516" s="2">
        <v>0</v>
      </c>
      <c r="O1516" s="2">
        <v>144436</v>
      </c>
      <c r="P1516" t="s">
        <v>24</v>
      </c>
      <c r="Q1516" t="s">
        <v>24</v>
      </c>
    </row>
    <row r="1517" spans="1:17" x14ac:dyDescent="0.25">
      <c r="A1517" t="s">
        <v>3662</v>
      </c>
      <c r="B1517" t="s">
        <v>3663</v>
      </c>
      <c r="C1517" s="1">
        <v>41275</v>
      </c>
      <c r="D1517" s="1">
        <v>41639</v>
      </c>
      <c r="E1517" t="s">
        <v>3664</v>
      </c>
      <c r="G1517" t="s">
        <v>28</v>
      </c>
      <c r="H1517" t="s">
        <v>29</v>
      </c>
      <c r="I1517" t="str">
        <f>"60611"</f>
        <v>60611</v>
      </c>
      <c r="J1517" t="s">
        <v>22</v>
      </c>
      <c r="K1517" t="s">
        <v>30</v>
      </c>
      <c r="L1517" s="2">
        <v>2836781</v>
      </c>
      <c r="M1517" s="2">
        <v>73907</v>
      </c>
      <c r="N1517" s="2">
        <v>129</v>
      </c>
      <c r="O1517" s="2">
        <v>21221</v>
      </c>
      <c r="P1517" t="s">
        <v>24</v>
      </c>
      <c r="Q1517" t="s">
        <v>24</v>
      </c>
    </row>
    <row r="1518" spans="1:17" x14ac:dyDescent="0.25">
      <c r="A1518" t="s">
        <v>6260</v>
      </c>
      <c r="B1518" t="s">
        <v>6261</v>
      </c>
      <c r="C1518" s="1">
        <v>40179</v>
      </c>
      <c r="D1518" s="1">
        <v>40543</v>
      </c>
      <c r="E1518" t="s">
        <v>6262</v>
      </c>
      <c r="F1518" t="s">
        <v>6263</v>
      </c>
      <c r="G1518" t="s">
        <v>229</v>
      </c>
      <c r="H1518" t="s">
        <v>29</v>
      </c>
      <c r="I1518" t="str">
        <f>"61656"</f>
        <v>61656</v>
      </c>
      <c r="J1518" t="s">
        <v>22</v>
      </c>
      <c r="K1518" t="s">
        <v>30</v>
      </c>
      <c r="L1518" s="2">
        <v>2830367</v>
      </c>
      <c r="M1518" s="2">
        <v>2773133</v>
      </c>
      <c r="N1518" s="2">
        <v>0</v>
      </c>
      <c r="O1518" s="2">
        <v>1011288</v>
      </c>
      <c r="P1518" t="s">
        <v>24</v>
      </c>
      <c r="Q1518" t="s">
        <v>24</v>
      </c>
    </row>
    <row r="1519" spans="1:17" x14ac:dyDescent="0.25">
      <c r="A1519" t="s">
        <v>2903</v>
      </c>
      <c r="B1519" t="s">
        <v>2904</v>
      </c>
      <c r="C1519" s="1">
        <v>41275</v>
      </c>
      <c r="D1519" s="1">
        <v>41639</v>
      </c>
      <c r="E1519" t="s">
        <v>2905</v>
      </c>
      <c r="G1519" t="s">
        <v>2906</v>
      </c>
      <c r="H1519" t="s">
        <v>47</v>
      </c>
      <c r="I1519" t="str">
        <f>"49783"</f>
        <v>49783</v>
      </c>
      <c r="J1519" t="s">
        <v>63</v>
      </c>
      <c r="K1519" t="s">
        <v>64</v>
      </c>
      <c r="L1519" s="2">
        <v>2829309</v>
      </c>
      <c r="M1519" s="2">
        <v>202528</v>
      </c>
      <c r="N1519" s="2">
        <v>213213</v>
      </c>
      <c r="O1519" s="2">
        <v>133942</v>
      </c>
      <c r="P1519" s="2">
        <v>17994</v>
      </c>
      <c r="Q1519" s="2">
        <v>2548</v>
      </c>
    </row>
    <row r="1520" spans="1:17" x14ac:dyDescent="0.25">
      <c r="A1520" t="s">
        <v>744</v>
      </c>
      <c r="B1520" t="s">
        <v>745</v>
      </c>
      <c r="C1520" s="1">
        <v>41275</v>
      </c>
      <c r="D1520" s="1">
        <v>41639</v>
      </c>
      <c r="E1520" t="s">
        <v>40</v>
      </c>
      <c r="G1520" t="s">
        <v>41</v>
      </c>
      <c r="H1520" t="s">
        <v>42</v>
      </c>
      <c r="I1520" t="str">
        <f>"53201"</f>
        <v>53201</v>
      </c>
      <c r="J1520" t="s">
        <v>22</v>
      </c>
      <c r="K1520" t="s">
        <v>23</v>
      </c>
      <c r="L1520" s="2">
        <v>2827495</v>
      </c>
      <c r="M1520" s="2">
        <v>2057745</v>
      </c>
      <c r="N1520" s="2">
        <v>0</v>
      </c>
      <c r="O1520" s="2">
        <v>177677</v>
      </c>
      <c r="P1520" t="s">
        <v>24</v>
      </c>
      <c r="Q1520" t="s">
        <v>24</v>
      </c>
    </row>
    <row r="1521" spans="1:17" x14ac:dyDescent="0.25">
      <c r="A1521" t="s">
        <v>3983</v>
      </c>
      <c r="B1521" t="s">
        <v>3984</v>
      </c>
      <c r="C1521" s="1">
        <v>40909</v>
      </c>
      <c r="D1521" s="1">
        <v>41274</v>
      </c>
      <c r="E1521" t="s">
        <v>3985</v>
      </c>
      <c r="G1521" t="s">
        <v>3115</v>
      </c>
      <c r="H1521" t="s">
        <v>62</v>
      </c>
      <c r="I1521" t="str">
        <f>"44281"</f>
        <v>44281</v>
      </c>
      <c r="J1521" t="s">
        <v>22</v>
      </c>
      <c r="K1521" t="s">
        <v>23</v>
      </c>
      <c r="L1521" s="2">
        <v>2825152</v>
      </c>
      <c r="M1521" s="2">
        <v>1100881</v>
      </c>
      <c r="N1521" s="2">
        <v>0</v>
      </c>
      <c r="O1521" s="2">
        <v>131976</v>
      </c>
      <c r="P1521" t="s">
        <v>24</v>
      </c>
      <c r="Q1521" t="s">
        <v>24</v>
      </c>
    </row>
    <row r="1522" spans="1:17" x14ac:dyDescent="0.25">
      <c r="A1522" t="s">
        <v>1011</v>
      </c>
      <c r="B1522" t="s">
        <v>1012</v>
      </c>
      <c r="C1522" s="1">
        <v>41275</v>
      </c>
      <c r="D1522" s="1">
        <v>41639</v>
      </c>
      <c r="E1522" t="s">
        <v>1013</v>
      </c>
      <c r="G1522" t="s">
        <v>1014</v>
      </c>
      <c r="H1522" t="s">
        <v>47</v>
      </c>
      <c r="I1522" t="str">
        <f>"49031"</f>
        <v>49031</v>
      </c>
      <c r="J1522" t="s">
        <v>22</v>
      </c>
      <c r="K1522" t="s">
        <v>23</v>
      </c>
      <c r="L1522" s="2">
        <v>2821834</v>
      </c>
      <c r="M1522" s="2">
        <v>1188386</v>
      </c>
      <c r="N1522" s="2">
        <v>0</v>
      </c>
      <c r="O1522" s="2">
        <v>219175</v>
      </c>
      <c r="P1522" t="s">
        <v>24</v>
      </c>
      <c r="Q1522" t="s">
        <v>24</v>
      </c>
    </row>
    <row r="1523" spans="1:17" x14ac:dyDescent="0.25">
      <c r="A1523" t="s">
        <v>1105</v>
      </c>
      <c r="B1523" t="s">
        <v>1106</v>
      </c>
      <c r="C1523" s="1">
        <v>41275</v>
      </c>
      <c r="D1523" s="1">
        <v>41639</v>
      </c>
      <c r="E1523" t="s">
        <v>1107</v>
      </c>
      <c r="G1523" t="s">
        <v>139</v>
      </c>
      <c r="H1523" t="s">
        <v>47</v>
      </c>
      <c r="I1523" t="str">
        <f>"49525"</f>
        <v>49525</v>
      </c>
      <c r="J1523" t="s">
        <v>22</v>
      </c>
      <c r="K1523" t="s">
        <v>30</v>
      </c>
      <c r="L1523" s="2">
        <v>2820908</v>
      </c>
      <c r="M1523" s="2">
        <v>68165</v>
      </c>
      <c r="N1523" s="2">
        <v>0</v>
      </c>
      <c r="O1523" s="2">
        <v>109702</v>
      </c>
      <c r="P1523" t="s">
        <v>24</v>
      </c>
      <c r="Q1523" t="s">
        <v>24</v>
      </c>
    </row>
    <row r="1524" spans="1:17" x14ac:dyDescent="0.25">
      <c r="A1524" t="s">
        <v>5926</v>
      </c>
      <c r="B1524" t="s">
        <v>5927</v>
      </c>
      <c r="C1524" s="1">
        <v>41275</v>
      </c>
      <c r="D1524" s="1">
        <v>41639</v>
      </c>
      <c r="E1524" t="s">
        <v>5928</v>
      </c>
      <c r="G1524" t="s">
        <v>143</v>
      </c>
      <c r="H1524" t="s">
        <v>47</v>
      </c>
      <c r="I1524" t="str">
        <f>"48201"</f>
        <v>48201</v>
      </c>
      <c r="J1524" t="s">
        <v>63</v>
      </c>
      <c r="K1524" t="s">
        <v>753</v>
      </c>
      <c r="L1524" s="2">
        <v>2815359</v>
      </c>
      <c r="M1524" s="2">
        <v>387486</v>
      </c>
      <c r="N1524" s="2">
        <v>557266</v>
      </c>
      <c r="O1524" s="2">
        <v>718541</v>
      </c>
      <c r="P1524" s="2">
        <v>27367</v>
      </c>
      <c r="Q1524" s="2">
        <v>0</v>
      </c>
    </row>
    <row r="1525" spans="1:17" x14ac:dyDescent="0.25">
      <c r="A1525" t="s">
        <v>6682</v>
      </c>
      <c r="B1525" t="s">
        <v>6683</v>
      </c>
      <c r="C1525" s="1">
        <v>41609</v>
      </c>
      <c r="D1525" s="1">
        <v>41973</v>
      </c>
      <c r="E1525" t="s">
        <v>104</v>
      </c>
      <c r="G1525" t="s">
        <v>28</v>
      </c>
      <c r="H1525" t="s">
        <v>29</v>
      </c>
      <c r="I1525" t="str">
        <f>"60680"</f>
        <v>60680</v>
      </c>
      <c r="J1525" t="s">
        <v>22</v>
      </c>
      <c r="K1525" t="s">
        <v>23</v>
      </c>
      <c r="L1525" s="2">
        <v>2813275</v>
      </c>
      <c r="M1525" s="2">
        <v>1074969</v>
      </c>
      <c r="N1525" s="2">
        <v>3000</v>
      </c>
      <c r="O1525" s="2">
        <v>131052</v>
      </c>
      <c r="P1525" t="s">
        <v>24</v>
      </c>
      <c r="Q1525" t="s">
        <v>24</v>
      </c>
    </row>
    <row r="1526" spans="1:17" x14ac:dyDescent="0.25">
      <c r="A1526" t="s">
        <v>6982</v>
      </c>
      <c r="B1526" t="s">
        <v>6983</v>
      </c>
      <c r="C1526" s="1">
        <v>41275</v>
      </c>
      <c r="D1526" s="1">
        <v>41639</v>
      </c>
      <c r="E1526" t="s">
        <v>6984</v>
      </c>
      <c r="G1526" t="s">
        <v>46</v>
      </c>
      <c r="H1526" t="s">
        <v>47</v>
      </c>
      <c r="I1526" t="str">
        <f>"49017"</f>
        <v>49017</v>
      </c>
      <c r="J1526" t="s">
        <v>22</v>
      </c>
      <c r="K1526" t="s">
        <v>91</v>
      </c>
      <c r="L1526" s="2">
        <v>2812149</v>
      </c>
      <c r="M1526" s="2">
        <v>2744792</v>
      </c>
      <c r="N1526" s="2">
        <v>0</v>
      </c>
      <c r="O1526" s="2">
        <v>99419</v>
      </c>
      <c r="P1526" t="s">
        <v>24</v>
      </c>
      <c r="Q1526" t="s">
        <v>24</v>
      </c>
    </row>
    <row r="1527" spans="1:17" x14ac:dyDescent="0.25">
      <c r="A1527" t="s">
        <v>1957</v>
      </c>
      <c r="B1527" t="s">
        <v>1958</v>
      </c>
      <c r="C1527" s="1">
        <v>41275</v>
      </c>
      <c r="D1527" s="1">
        <v>41639</v>
      </c>
      <c r="E1527" t="s">
        <v>1959</v>
      </c>
      <c r="G1527" t="s">
        <v>829</v>
      </c>
      <c r="H1527" t="s">
        <v>62</v>
      </c>
      <c r="I1527" t="str">
        <f>"43699"</f>
        <v>43699</v>
      </c>
      <c r="J1527" t="s">
        <v>22</v>
      </c>
      <c r="K1527" t="s">
        <v>23</v>
      </c>
      <c r="L1527" s="2">
        <v>2806475</v>
      </c>
      <c r="M1527" s="2">
        <v>538474</v>
      </c>
      <c r="N1527" s="2">
        <v>0</v>
      </c>
      <c r="O1527" s="2">
        <v>147966</v>
      </c>
      <c r="P1527" t="s">
        <v>24</v>
      </c>
      <c r="Q1527" t="s">
        <v>24</v>
      </c>
    </row>
    <row r="1528" spans="1:17" x14ac:dyDescent="0.25">
      <c r="A1528" t="s">
        <v>2574</v>
      </c>
      <c r="B1528" t="s">
        <v>2575</v>
      </c>
      <c r="C1528" s="1">
        <v>41275</v>
      </c>
      <c r="D1528" s="1">
        <v>41639</v>
      </c>
      <c r="E1528" t="s">
        <v>2576</v>
      </c>
      <c r="G1528" t="s">
        <v>2577</v>
      </c>
      <c r="H1528" t="s">
        <v>29</v>
      </c>
      <c r="I1528" t="str">
        <f>"62644"</f>
        <v>62644</v>
      </c>
      <c r="J1528" t="s">
        <v>22</v>
      </c>
      <c r="K1528" t="s">
        <v>30</v>
      </c>
      <c r="L1528" s="2">
        <v>2806217</v>
      </c>
      <c r="M1528" s="2">
        <v>111257</v>
      </c>
      <c r="N1528" s="2">
        <v>0</v>
      </c>
      <c r="O1528" s="2">
        <v>122382</v>
      </c>
      <c r="P1528" t="s">
        <v>24</v>
      </c>
      <c r="Q1528" t="s">
        <v>24</v>
      </c>
    </row>
    <row r="1529" spans="1:17" x14ac:dyDescent="0.25">
      <c r="A1529" t="s">
        <v>6219</v>
      </c>
      <c r="B1529" t="s">
        <v>6220</v>
      </c>
      <c r="C1529" s="1">
        <v>41275</v>
      </c>
      <c r="D1529" s="1">
        <v>41639</v>
      </c>
      <c r="E1529" t="s">
        <v>1496</v>
      </c>
      <c r="G1529" t="s">
        <v>167</v>
      </c>
      <c r="H1529" t="s">
        <v>62</v>
      </c>
      <c r="I1529" t="str">
        <f>"45263"</f>
        <v>45263</v>
      </c>
      <c r="J1529" t="s">
        <v>22</v>
      </c>
      <c r="K1529" t="s">
        <v>91</v>
      </c>
      <c r="L1529" s="2">
        <v>2801132</v>
      </c>
      <c r="M1529" s="2">
        <v>1104316</v>
      </c>
      <c r="N1529" s="2">
        <v>0</v>
      </c>
      <c r="O1529" s="2">
        <v>173132</v>
      </c>
      <c r="P1529" t="s">
        <v>24</v>
      </c>
      <c r="Q1529" t="s">
        <v>24</v>
      </c>
    </row>
    <row r="1530" spans="1:17" x14ac:dyDescent="0.25">
      <c r="A1530" t="s">
        <v>2180</v>
      </c>
      <c r="B1530" t="s">
        <v>2181</v>
      </c>
      <c r="C1530" s="1">
        <v>41426</v>
      </c>
      <c r="D1530" s="1">
        <v>41790</v>
      </c>
      <c r="E1530" t="s">
        <v>489</v>
      </c>
      <c r="G1530" t="s">
        <v>337</v>
      </c>
      <c r="H1530" t="s">
        <v>62</v>
      </c>
      <c r="I1530" t="str">
        <f>"44101"</f>
        <v>44101</v>
      </c>
      <c r="J1530" t="s">
        <v>22</v>
      </c>
      <c r="K1530" t="s">
        <v>23</v>
      </c>
      <c r="L1530" s="2">
        <v>2799668</v>
      </c>
      <c r="M1530" s="2">
        <v>990306</v>
      </c>
      <c r="N1530" s="2">
        <v>0</v>
      </c>
      <c r="O1530" s="2">
        <v>125302</v>
      </c>
      <c r="P1530" t="s">
        <v>24</v>
      </c>
      <c r="Q1530" t="s">
        <v>24</v>
      </c>
    </row>
    <row r="1531" spans="1:17" x14ac:dyDescent="0.25">
      <c r="A1531" t="s">
        <v>7432</v>
      </c>
      <c r="B1531" t="s">
        <v>7433</v>
      </c>
      <c r="C1531" s="1">
        <v>41275</v>
      </c>
      <c r="D1531" s="1">
        <v>41639</v>
      </c>
      <c r="E1531" t="s">
        <v>104</v>
      </c>
      <c r="G1531" t="s">
        <v>28</v>
      </c>
      <c r="H1531" t="s">
        <v>29</v>
      </c>
      <c r="I1531" t="str">
        <f>"60680"</f>
        <v>60680</v>
      </c>
      <c r="J1531" t="s">
        <v>22</v>
      </c>
      <c r="K1531" t="s">
        <v>23</v>
      </c>
      <c r="L1531" s="2">
        <v>2793245</v>
      </c>
      <c r="M1531" s="2">
        <v>2499394</v>
      </c>
      <c r="N1531" s="2">
        <v>0</v>
      </c>
      <c r="O1531" s="2">
        <v>146502</v>
      </c>
      <c r="P1531" t="s">
        <v>24</v>
      </c>
      <c r="Q1531" t="s">
        <v>24</v>
      </c>
    </row>
    <row r="1532" spans="1:17" x14ac:dyDescent="0.25">
      <c r="A1532" t="s">
        <v>3513</v>
      </c>
      <c r="B1532" t="s">
        <v>3514</v>
      </c>
      <c r="C1532" s="1">
        <v>41275</v>
      </c>
      <c r="D1532" s="1">
        <v>41639</v>
      </c>
      <c r="E1532" t="s">
        <v>142</v>
      </c>
      <c r="G1532" t="s">
        <v>143</v>
      </c>
      <c r="H1532" t="s">
        <v>47</v>
      </c>
      <c r="I1532" t="str">
        <f>"48275"</f>
        <v>48275</v>
      </c>
      <c r="J1532" t="s">
        <v>752</v>
      </c>
      <c r="K1532" t="s">
        <v>23</v>
      </c>
      <c r="L1532" s="2">
        <v>2793147</v>
      </c>
      <c r="M1532" s="2">
        <v>1119471</v>
      </c>
      <c r="N1532" s="2">
        <v>0</v>
      </c>
      <c r="O1532" s="2">
        <v>173619</v>
      </c>
      <c r="P1532" t="s">
        <v>24</v>
      </c>
      <c r="Q1532" t="s">
        <v>24</v>
      </c>
    </row>
    <row r="1533" spans="1:17" x14ac:dyDescent="0.25">
      <c r="A1533" t="s">
        <v>1892</v>
      </c>
      <c r="B1533" t="s">
        <v>1893</v>
      </c>
      <c r="C1533" s="1">
        <v>41456</v>
      </c>
      <c r="D1533" s="1">
        <v>41820</v>
      </c>
      <c r="E1533" t="s">
        <v>1894</v>
      </c>
      <c r="G1533" t="s">
        <v>1895</v>
      </c>
      <c r="H1533" t="s">
        <v>42</v>
      </c>
      <c r="I1533" t="str">
        <f>"53528"</f>
        <v>53528</v>
      </c>
      <c r="J1533" t="s">
        <v>22</v>
      </c>
      <c r="K1533" t="s">
        <v>23</v>
      </c>
      <c r="L1533" s="2">
        <v>2787210</v>
      </c>
      <c r="M1533" s="2">
        <v>279292</v>
      </c>
      <c r="N1533" s="2">
        <v>0</v>
      </c>
      <c r="O1533" s="2">
        <v>129633</v>
      </c>
      <c r="P1533" t="s">
        <v>24</v>
      </c>
      <c r="Q1533" t="s">
        <v>24</v>
      </c>
    </row>
    <row r="1534" spans="1:17" x14ac:dyDescent="0.25">
      <c r="A1534" t="s">
        <v>220</v>
      </c>
      <c r="B1534" t="s">
        <v>221</v>
      </c>
      <c r="C1534" s="1">
        <v>40909</v>
      </c>
      <c r="D1534" s="1">
        <v>41274</v>
      </c>
      <c r="E1534" t="s">
        <v>222</v>
      </c>
      <c r="G1534" t="s">
        <v>28</v>
      </c>
      <c r="H1534" t="s">
        <v>29</v>
      </c>
      <c r="I1534" t="str">
        <f>"60606"</f>
        <v>60606</v>
      </c>
      <c r="J1534" t="s">
        <v>22</v>
      </c>
      <c r="K1534" t="s">
        <v>23</v>
      </c>
      <c r="L1534" s="2">
        <v>2781526</v>
      </c>
      <c r="M1534" s="2">
        <v>420476</v>
      </c>
      <c r="N1534" s="2">
        <v>0</v>
      </c>
      <c r="O1534" s="2">
        <v>110328</v>
      </c>
      <c r="P1534" t="s">
        <v>24</v>
      </c>
      <c r="Q1534" t="s">
        <v>24</v>
      </c>
    </row>
    <row r="1535" spans="1:17" x14ac:dyDescent="0.25">
      <c r="A1535" t="s">
        <v>1812</v>
      </c>
      <c r="B1535" t="s">
        <v>1813</v>
      </c>
      <c r="C1535" s="1">
        <v>41275</v>
      </c>
      <c r="D1535" s="1">
        <v>41639</v>
      </c>
      <c r="E1535" t="s">
        <v>1814</v>
      </c>
      <c r="G1535" t="s">
        <v>659</v>
      </c>
      <c r="H1535" t="s">
        <v>47</v>
      </c>
      <c r="I1535" t="str">
        <f>"48037"</f>
        <v>48037</v>
      </c>
      <c r="J1535" t="s">
        <v>22</v>
      </c>
      <c r="K1535" t="s">
        <v>91</v>
      </c>
      <c r="L1535" s="2">
        <v>2774882</v>
      </c>
      <c r="M1535" s="2">
        <v>552809</v>
      </c>
      <c r="N1535" s="2">
        <v>0</v>
      </c>
      <c r="O1535" s="2">
        <v>102205</v>
      </c>
      <c r="P1535" t="s">
        <v>24</v>
      </c>
      <c r="Q1535" t="s">
        <v>24</v>
      </c>
    </row>
    <row r="1536" spans="1:17" x14ac:dyDescent="0.25">
      <c r="A1536" t="s">
        <v>4277</v>
      </c>
      <c r="B1536" t="s">
        <v>4278</v>
      </c>
      <c r="C1536" s="1">
        <v>41000</v>
      </c>
      <c r="D1536" s="1">
        <v>41364</v>
      </c>
      <c r="E1536" t="s">
        <v>4279</v>
      </c>
      <c r="G1536" t="s">
        <v>4280</v>
      </c>
      <c r="H1536" t="s">
        <v>21</v>
      </c>
      <c r="I1536" t="str">
        <f>"47906"</f>
        <v>47906</v>
      </c>
      <c r="J1536" t="s">
        <v>22</v>
      </c>
      <c r="K1536" t="s">
        <v>23</v>
      </c>
      <c r="L1536" s="2">
        <v>2774055</v>
      </c>
      <c r="M1536" s="2">
        <v>203459</v>
      </c>
      <c r="N1536" s="2">
        <v>0</v>
      </c>
      <c r="O1536" s="2">
        <v>451430</v>
      </c>
      <c r="P1536" t="s">
        <v>24</v>
      </c>
      <c r="Q1536" t="s">
        <v>24</v>
      </c>
    </row>
    <row r="1537" spans="1:17" x14ac:dyDescent="0.25">
      <c r="A1537" t="s">
        <v>4243</v>
      </c>
      <c r="B1537" t="s">
        <v>4244</v>
      </c>
      <c r="C1537" s="1">
        <v>41275</v>
      </c>
      <c r="D1537" s="1">
        <v>41639</v>
      </c>
      <c r="E1537" t="s">
        <v>4245</v>
      </c>
      <c r="G1537" t="s">
        <v>28</v>
      </c>
      <c r="H1537" t="s">
        <v>29</v>
      </c>
      <c r="I1537" t="str">
        <f>"60611"</f>
        <v>60611</v>
      </c>
      <c r="J1537" t="s">
        <v>22</v>
      </c>
      <c r="K1537" t="s">
        <v>23</v>
      </c>
      <c r="L1537" s="2">
        <v>2765757</v>
      </c>
      <c r="M1537" s="2">
        <v>245174</v>
      </c>
      <c r="N1537" s="2">
        <v>0</v>
      </c>
      <c r="O1537" s="2">
        <v>111923</v>
      </c>
      <c r="P1537" t="s">
        <v>24</v>
      </c>
      <c r="Q1537" t="s">
        <v>24</v>
      </c>
    </row>
    <row r="1538" spans="1:17" x14ac:dyDescent="0.25">
      <c r="A1538" t="s">
        <v>2656</v>
      </c>
      <c r="B1538" t="s">
        <v>2657</v>
      </c>
      <c r="C1538" s="1">
        <v>41275</v>
      </c>
      <c r="D1538" s="1">
        <v>41639</v>
      </c>
      <c r="E1538" t="s">
        <v>2615</v>
      </c>
      <c r="G1538" t="s">
        <v>1042</v>
      </c>
      <c r="H1538" t="s">
        <v>47</v>
      </c>
      <c r="I1538" t="str">
        <f>"48304"</f>
        <v>48304</v>
      </c>
      <c r="J1538" t="s">
        <v>22</v>
      </c>
      <c r="K1538" t="s">
        <v>30</v>
      </c>
      <c r="L1538" s="2">
        <v>2765052</v>
      </c>
      <c r="M1538" s="2">
        <v>592727</v>
      </c>
      <c r="N1538" s="2">
        <v>0</v>
      </c>
      <c r="O1538" s="2">
        <v>114492</v>
      </c>
      <c r="P1538" t="s">
        <v>24</v>
      </c>
      <c r="Q1538" t="s">
        <v>24</v>
      </c>
    </row>
    <row r="1539" spans="1:17" x14ac:dyDescent="0.25">
      <c r="A1539" t="s">
        <v>4633</v>
      </c>
      <c r="B1539" t="s">
        <v>4634</v>
      </c>
      <c r="C1539" s="1">
        <v>41275</v>
      </c>
      <c r="D1539" s="1">
        <v>41639</v>
      </c>
      <c r="E1539" t="s">
        <v>4635</v>
      </c>
      <c r="G1539" t="s">
        <v>4636</v>
      </c>
      <c r="H1539" t="s">
        <v>62</v>
      </c>
      <c r="I1539" t="str">
        <f>"44408"</f>
        <v>44408</v>
      </c>
      <c r="J1539" t="s">
        <v>63</v>
      </c>
      <c r="K1539" t="s">
        <v>64</v>
      </c>
      <c r="L1539" s="2">
        <v>2753622</v>
      </c>
      <c r="M1539" s="2">
        <v>154450</v>
      </c>
      <c r="N1539" s="2">
        <v>0</v>
      </c>
      <c r="O1539" s="2">
        <v>96299</v>
      </c>
      <c r="P1539" t="s">
        <v>24</v>
      </c>
      <c r="Q1539" t="s">
        <v>24</v>
      </c>
    </row>
    <row r="1540" spans="1:17" x14ac:dyDescent="0.25">
      <c r="A1540" t="s">
        <v>1782</v>
      </c>
      <c r="B1540" t="s">
        <v>1783</v>
      </c>
      <c r="C1540" s="1">
        <v>41275</v>
      </c>
      <c r="D1540" s="1">
        <v>41639</v>
      </c>
      <c r="E1540" t="s">
        <v>1784</v>
      </c>
      <c r="G1540" t="s">
        <v>1785</v>
      </c>
      <c r="H1540" t="s">
        <v>78</v>
      </c>
      <c r="I1540" t="str">
        <f>"42102"</f>
        <v>42102</v>
      </c>
      <c r="J1540" t="s">
        <v>63</v>
      </c>
      <c r="K1540" t="s">
        <v>64</v>
      </c>
      <c r="L1540" s="2">
        <v>2745019</v>
      </c>
      <c r="M1540" s="2">
        <v>865576</v>
      </c>
      <c r="N1540" s="2">
        <v>0</v>
      </c>
      <c r="O1540" s="2">
        <v>318881</v>
      </c>
      <c r="P1540" s="2">
        <v>30356</v>
      </c>
      <c r="Q1540" t="s">
        <v>24</v>
      </c>
    </row>
    <row r="1541" spans="1:17" x14ac:dyDescent="0.25">
      <c r="A1541" t="s">
        <v>6046</v>
      </c>
      <c r="B1541" t="s">
        <v>6047</v>
      </c>
      <c r="C1541" s="1">
        <v>41275</v>
      </c>
      <c r="D1541" s="1">
        <v>41639</v>
      </c>
      <c r="E1541" t="s">
        <v>6048</v>
      </c>
      <c r="G1541" t="s">
        <v>4684</v>
      </c>
      <c r="H1541" t="s">
        <v>29</v>
      </c>
      <c r="I1541" t="str">
        <f>"60043"</f>
        <v>60043</v>
      </c>
      <c r="J1541" t="s">
        <v>22</v>
      </c>
      <c r="K1541" t="s">
        <v>23</v>
      </c>
      <c r="L1541" s="2">
        <v>2741710</v>
      </c>
      <c r="M1541" s="2">
        <v>265058</v>
      </c>
      <c r="N1541" s="2">
        <v>0</v>
      </c>
      <c r="O1541" s="2">
        <v>153767</v>
      </c>
      <c r="P1541" t="s">
        <v>24</v>
      </c>
      <c r="Q1541" t="s">
        <v>24</v>
      </c>
    </row>
    <row r="1542" spans="1:17" x14ac:dyDescent="0.25">
      <c r="A1542" t="s">
        <v>6754</v>
      </c>
      <c r="B1542" t="s">
        <v>6755</v>
      </c>
      <c r="C1542" s="1">
        <v>41275</v>
      </c>
      <c r="D1542" s="1">
        <v>41639</v>
      </c>
      <c r="E1542" t="s">
        <v>6756</v>
      </c>
      <c r="G1542" t="s">
        <v>28</v>
      </c>
      <c r="H1542" t="s">
        <v>29</v>
      </c>
      <c r="I1542" t="str">
        <f>"60606"</f>
        <v>60606</v>
      </c>
      <c r="J1542" t="s">
        <v>22</v>
      </c>
      <c r="K1542" t="s">
        <v>30</v>
      </c>
      <c r="L1542" s="2">
        <v>2732900</v>
      </c>
      <c r="M1542" s="2">
        <v>4075302</v>
      </c>
      <c r="N1542" s="2">
        <v>0</v>
      </c>
      <c r="O1542" s="2">
        <v>695015</v>
      </c>
      <c r="P1542" t="s">
        <v>24</v>
      </c>
      <c r="Q1542" t="s">
        <v>24</v>
      </c>
    </row>
    <row r="1543" spans="1:17" x14ac:dyDescent="0.25">
      <c r="A1543" t="s">
        <v>5431</v>
      </c>
      <c r="B1543" t="s">
        <v>5432</v>
      </c>
      <c r="C1543" s="1">
        <v>41275</v>
      </c>
      <c r="D1543" s="1">
        <v>41639</v>
      </c>
      <c r="E1543" t="s">
        <v>5433</v>
      </c>
      <c r="G1543" t="s">
        <v>5434</v>
      </c>
      <c r="H1543" t="s">
        <v>29</v>
      </c>
      <c r="I1543" t="str">
        <f>"60015"</f>
        <v>60015</v>
      </c>
      <c r="J1543" t="s">
        <v>22</v>
      </c>
      <c r="K1543" t="s">
        <v>23</v>
      </c>
      <c r="L1543" s="2">
        <v>2724936</v>
      </c>
      <c r="M1543" s="2">
        <v>910409</v>
      </c>
      <c r="N1543" s="2">
        <v>0</v>
      </c>
      <c r="O1543" s="2">
        <v>148842</v>
      </c>
      <c r="P1543" t="s">
        <v>24</v>
      </c>
      <c r="Q1543" t="s">
        <v>24</v>
      </c>
    </row>
    <row r="1544" spans="1:17" x14ac:dyDescent="0.25">
      <c r="A1544" t="s">
        <v>637</v>
      </c>
      <c r="B1544" t="s">
        <v>638</v>
      </c>
      <c r="C1544" s="1">
        <v>41275</v>
      </c>
      <c r="D1544" s="1">
        <v>41639</v>
      </c>
      <c r="E1544" t="s">
        <v>639</v>
      </c>
      <c r="G1544" t="s">
        <v>640</v>
      </c>
      <c r="H1544" t="s">
        <v>42</v>
      </c>
      <c r="I1544" t="str">
        <f>"53217"</f>
        <v>53217</v>
      </c>
      <c r="J1544" t="s">
        <v>22</v>
      </c>
      <c r="K1544" t="s">
        <v>23</v>
      </c>
      <c r="L1544" s="2">
        <v>2723223</v>
      </c>
      <c r="M1544" s="2">
        <v>1468271</v>
      </c>
      <c r="N1544" s="2">
        <v>0</v>
      </c>
      <c r="O1544" s="2">
        <v>605612</v>
      </c>
      <c r="P1544" t="s">
        <v>24</v>
      </c>
      <c r="Q1544" t="s">
        <v>24</v>
      </c>
    </row>
    <row r="1545" spans="1:17" x14ac:dyDescent="0.25">
      <c r="A1545" t="s">
        <v>7472</v>
      </c>
      <c r="B1545" t="s">
        <v>7473</v>
      </c>
      <c r="C1545" s="1">
        <v>41122</v>
      </c>
      <c r="D1545" s="1">
        <v>41486</v>
      </c>
      <c r="E1545" t="s">
        <v>7474</v>
      </c>
      <c r="G1545" t="s">
        <v>20</v>
      </c>
      <c r="H1545" t="s">
        <v>21</v>
      </c>
      <c r="I1545" t="str">
        <f>"46236"</f>
        <v>46236</v>
      </c>
      <c r="J1545" t="s">
        <v>22</v>
      </c>
      <c r="K1545" t="s">
        <v>30</v>
      </c>
      <c r="L1545" s="2">
        <v>2718749</v>
      </c>
      <c r="M1545" s="2">
        <v>1004714</v>
      </c>
      <c r="N1545" s="2">
        <v>0</v>
      </c>
      <c r="O1545" s="2">
        <v>120049</v>
      </c>
      <c r="P1545" t="s">
        <v>24</v>
      </c>
      <c r="Q1545" t="s">
        <v>24</v>
      </c>
    </row>
    <row r="1546" spans="1:17" x14ac:dyDescent="0.25">
      <c r="A1546" t="s">
        <v>4808</v>
      </c>
      <c r="B1546" t="s">
        <v>4809</v>
      </c>
      <c r="C1546" s="1">
        <v>41275</v>
      </c>
      <c r="D1546" s="1">
        <v>41639</v>
      </c>
      <c r="E1546" t="s">
        <v>4810</v>
      </c>
      <c r="G1546" t="s">
        <v>4811</v>
      </c>
      <c r="H1546" t="s">
        <v>62</v>
      </c>
      <c r="I1546" t="str">
        <f>"45750"</f>
        <v>45750</v>
      </c>
      <c r="J1546" t="s">
        <v>22</v>
      </c>
      <c r="K1546" t="s">
        <v>23</v>
      </c>
      <c r="L1546" s="2">
        <v>2716848</v>
      </c>
      <c r="M1546" s="2">
        <v>822049</v>
      </c>
      <c r="N1546" s="2">
        <v>0</v>
      </c>
      <c r="O1546" s="2">
        <v>141543</v>
      </c>
      <c r="P1546" t="s">
        <v>24</v>
      </c>
      <c r="Q1546" t="s">
        <v>24</v>
      </c>
    </row>
    <row r="1547" spans="1:17" x14ac:dyDescent="0.25">
      <c r="A1547" t="s">
        <v>5610</v>
      </c>
      <c r="B1547" t="s">
        <v>5611</v>
      </c>
      <c r="C1547" s="1">
        <v>41275</v>
      </c>
      <c r="D1547" s="1">
        <v>41639</v>
      </c>
      <c r="E1547" t="s">
        <v>5612</v>
      </c>
      <c r="G1547" t="s">
        <v>4554</v>
      </c>
      <c r="H1547" t="s">
        <v>29</v>
      </c>
      <c r="I1547" t="str">
        <f>"60901"</f>
        <v>60901</v>
      </c>
      <c r="J1547" t="s">
        <v>22</v>
      </c>
      <c r="K1547" t="s">
        <v>23</v>
      </c>
      <c r="L1547" s="2">
        <v>2715793</v>
      </c>
      <c r="M1547" s="2">
        <v>457146</v>
      </c>
      <c r="N1547" s="2">
        <v>0</v>
      </c>
      <c r="O1547" s="2">
        <v>148953</v>
      </c>
      <c r="P1547" t="s">
        <v>24</v>
      </c>
      <c r="Q1547" t="s">
        <v>24</v>
      </c>
    </row>
    <row r="1548" spans="1:17" x14ac:dyDescent="0.25">
      <c r="A1548" t="s">
        <v>2714</v>
      </c>
      <c r="B1548" t="s">
        <v>2715</v>
      </c>
      <c r="C1548" s="1">
        <v>41275</v>
      </c>
      <c r="D1548" s="1">
        <v>41639</v>
      </c>
      <c r="E1548" t="s">
        <v>2716</v>
      </c>
      <c r="G1548" t="s">
        <v>20</v>
      </c>
      <c r="H1548" t="s">
        <v>21</v>
      </c>
      <c r="I1548" t="str">
        <f>"46240"</f>
        <v>46240</v>
      </c>
      <c r="J1548" t="s">
        <v>22</v>
      </c>
      <c r="K1548" t="s">
        <v>23</v>
      </c>
      <c r="L1548" s="2">
        <v>2715729</v>
      </c>
      <c r="M1548" s="2">
        <v>655706</v>
      </c>
      <c r="N1548" s="2">
        <v>0</v>
      </c>
      <c r="O1548" s="2">
        <v>142626</v>
      </c>
      <c r="P1548" t="s">
        <v>24</v>
      </c>
      <c r="Q1548" t="s">
        <v>24</v>
      </c>
    </row>
    <row r="1549" spans="1:17" x14ac:dyDescent="0.25">
      <c r="A1549" t="s">
        <v>2227</v>
      </c>
      <c r="B1549" t="s">
        <v>2228</v>
      </c>
      <c r="C1549" s="1">
        <v>40909</v>
      </c>
      <c r="D1549" s="1">
        <v>41274</v>
      </c>
      <c r="E1549" t="s">
        <v>2229</v>
      </c>
      <c r="G1549" t="s">
        <v>2230</v>
      </c>
      <c r="H1549" t="s">
        <v>21</v>
      </c>
      <c r="I1549" t="str">
        <f>"47305"</f>
        <v>47305</v>
      </c>
      <c r="J1549" t="s">
        <v>22</v>
      </c>
      <c r="K1549" t="s">
        <v>91</v>
      </c>
      <c r="L1549" s="2">
        <v>2714898</v>
      </c>
      <c r="M1549" s="2">
        <v>1171321</v>
      </c>
      <c r="N1549" s="2">
        <v>0</v>
      </c>
      <c r="O1549" s="2">
        <v>169790</v>
      </c>
      <c r="P1549" t="s">
        <v>24</v>
      </c>
      <c r="Q1549" t="s">
        <v>24</v>
      </c>
    </row>
    <row r="1550" spans="1:17" x14ac:dyDescent="0.25">
      <c r="A1550" t="s">
        <v>1536</v>
      </c>
      <c r="B1550" t="s">
        <v>1537</v>
      </c>
      <c r="C1550" s="1">
        <v>41275</v>
      </c>
      <c r="D1550" s="1">
        <v>41639</v>
      </c>
      <c r="E1550" t="s">
        <v>1538</v>
      </c>
      <c r="G1550" t="s">
        <v>987</v>
      </c>
      <c r="H1550" t="s">
        <v>47</v>
      </c>
      <c r="I1550" t="str">
        <f>"48009"</f>
        <v>48009</v>
      </c>
      <c r="J1550" t="s">
        <v>22</v>
      </c>
      <c r="K1550" t="s">
        <v>30</v>
      </c>
      <c r="L1550" s="2">
        <v>2713122</v>
      </c>
      <c r="M1550" s="2">
        <v>294178</v>
      </c>
      <c r="N1550" s="2">
        <v>17994</v>
      </c>
      <c r="O1550" s="2">
        <v>384623</v>
      </c>
      <c r="P1550" t="s">
        <v>24</v>
      </c>
      <c r="Q1550" t="s">
        <v>24</v>
      </c>
    </row>
    <row r="1551" spans="1:17" x14ac:dyDescent="0.25">
      <c r="A1551" t="s">
        <v>361</v>
      </c>
      <c r="B1551" t="s">
        <v>362</v>
      </c>
      <c r="C1551" s="1">
        <v>41275</v>
      </c>
      <c r="D1551" s="1">
        <v>41639</v>
      </c>
      <c r="E1551" t="s">
        <v>363</v>
      </c>
      <c r="G1551" t="s">
        <v>364</v>
      </c>
      <c r="H1551" t="s">
        <v>21</v>
      </c>
      <c r="I1551" t="str">
        <f>"47714"</f>
        <v>47714</v>
      </c>
      <c r="J1551" t="s">
        <v>22</v>
      </c>
      <c r="K1551" t="s">
        <v>30</v>
      </c>
      <c r="L1551" s="2">
        <v>2709432</v>
      </c>
      <c r="M1551" s="2">
        <v>1282817</v>
      </c>
      <c r="N1551" s="2">
        <v>0</v>
      </c>
      <c r="O1551" s="2">
        <v>304838</v>
      </c>
      <c r="P1551" t="s">
        <v>24</v>
      </c>
      <c r="Q1551" t="s">
        <v>24</v>
      </c>
    </row>
    <row r="1552" spans="1:17" x14ac:dyDescent="0.25">
      <c r="A1552" t="s">
        <v>7099</v>
      </c>
      <c r="B1552" t="s">
        <v>7100</v>
      </c>
      <c r="C1552" s="1">
        <v>41275</v>
      </c>
      <c r="D1552" s="1">
        <v>41639</v>
      </c>
      <c r="E1552" t="s">
        <v>7101</v>
      </c>
      <c r="G1552" t="s">
        <v>1021</v>
      </c>
      <c r="H1552" t="s">
        <v>47</v>
      </c>
      <c r="I1552" t="str">
        <f>"48230"</f>
        <v>48230</v>
      </c>
      <c r="J1552" t="s">
        <v>63</v>
      </c>
      <c r="K1552" t="s">
        <v>23</v>
      </c>
      <c r="L1552" s="2">
        <v>2707042</v>
      </c>
      <c r="M1552" s="2">
        <v>1790180</v>
      </c>
      <c r="N1552" s="2">
        <v>0</v>
      </c>
      <c r="O1552" s="2">
        <v>7083792</v>
      </c>
      <c r="P1552" s="2">
        <v>228792</v>
      </c>
      <c r="Q1552" s="2">
        <v>0</v>
      </c>
    </row>
    <row r="1553" spans="1:17" x14ac:dyDescent="0.25">
      <c r="A1553" t="s">
        <v>195</v>
      </c>
      <c r="B1553" t="s">
        <v>196</v>
      </c>
      <c r="C1553" s="1">
        <v>41275</v>
      </c>
      <c r="D1553" s="1">
        <v>41639</v>
      </c>
      <c r="E1553" t="s">
        <v>197</v>
      </c>
      <c r="G1553" t="s">
        <v>143</v>
      </c>
      <c r="H1553" t="s">
        <v>47</v>
      </c>
      <c r="I1553" t="str">
        <f>"48226"</f>
        <v>48226</v>
      </c>
      <c r="J1553" t="s">
        <v>63</v>
      </c>
      <c r="K1553" t="s">
        <v>79</v>
      </c>
      <c r="L1553" s="2">
        <v>2706343</v>
      </c>
      <c r="M1553" s="2">
        <v>242297</v>
      </c>
      <c r="N1553" s="2">
        <v>95005</v>
      </c>
      <c r="O1553" s="2">
        <v>253260</v>
      </c>
      <c r="P1553" s="2">
        <v>6710</v>
      </c>
      <c r="Q1553" t="s">
        <v>24</v>
      </c>
    </row>
    <row r="1554" spans="1:17" x14ac:dyDescent="0.25">
      <c r="A1554" t="s">
        <v>5749</v>
      </c>
      <c r="B1554" t="s">
        <v>5750</v>
      </c>
      <c r="C1554" s="1">
        <v>41334</v>
      </c>
      <c r="D1554" s="1">
        <v>41698</v>
      </c>
      <c r="E1554" t="s">
        <v>146</v>
      </c>
      <c r="G1554" t="s">
        <v>147</v>
      </c>
      <c r="H1554" t="s">
        <v>62</v>
      </c>
      <c r="I1554" t="str">
        <f>"44308"</f>
        <v>44308</v>
      </c>
      <c r="J1554" t="s">
        <v>22</v>
      </c>
      <c r="K1554" t="s">
        <v>23</v>
      </c>
      <c r="L1554" s="2">
        <v>2700772</v>
      </c>
      <c r="M1554" s="2">
        <v>234185</v>
      </c>
      <c r="N1554" s="2">
        <v>0</v>
      </c>
      <c r="O1554" s="2">
        <v>150312</v>
      </c>
      <c r="P1554" t="s">
        <v>24</v>
      </c>
      <c r="Q1554" t="s">
        <v>24</v>
      </c>
    </row>
    <row r="1555" spans="1:17" x14ac:dyDescent="0.25">
      <c r="A1555" t="s">
        <v>1142</v>
      </c>
      <c r="B1555" t="s">
        <v>1143</v>
      </c>
      <c r="C1555" s="1">
        <v>41275</v>
      </c>
      <c r="D1555" s="1">
        <v>41639</v>
      </c>
      <c r="E1555" t="s">
        <v>1144</v>
      </c>
      <c r="G1555" t="s">
        <v>1145</v>
      </c>
      <c r="H1555" t="s">
        <v>47</v>
      </c>
      <c r="I1555" t="str">
        <f>"49306"</f>
        <v>49306</v>
      </c>
      <c r="J1555" t="s">
        <v>22</v>
      </c>
      <c r="K1555" t="s">
        <v>23</v>
      </c>
      <c r="L1555" s="2">
        <v>2698992</v>
      </c>
      <c r="M1555" s="2">
        <v>631795</v>
      </c>
      <c r="N1555" s="2">
        <v>0</v>
      </c>
      <c r="O1555" s="2">
        <v>208067</v>
      </c>
      <c r="P1555" t="s">
        <v>24</v>
      </c>
      <c r="Q1555" t="s">
        <v>24</v>
      </c>
    </row>
    <row r="1556" spans="1:17" x14ac:dyDescent="0.25">
      <c r="A1556" t="s">
        <v>3565</v>
      </c>
      <c r="B1556" t="s">
        <v>3566</v>
      </c>
      <c r="C1556" s="1">
        <v>41275</v>
      </c>
      <c r="D1556" s="1">
        <v>41639</v>
      </c>
      <c r="E1556" t="s">
        <v>3567</v>
      </c>
      <c r="G1556" t="s">
        <v>3568</v>
      </c>
      <c r="H1556" t="s">
        <v>47</v>
      </c>
      <c r="I1556" t="str">
        <f>"48167"</f>
        <v>48167</v>
      </c>
      <c r="J1556" t="s">
        <v>22</v>
      </c>
      <c r="K1556" t="s">
        <v>23</v>
      </c>
      <c r="L1556" s="2">
        <v>2694029</v>
      </c>
      <c r="M1556" s="2">
        <v>3012809</v>
      </c>
      <c r="N1556" s="2">
        <v>0</v>
      </c>
      <c r="O1556" s="2">
        <v>22501</v>
      </c>
      <c r="P1556" t="s">
        <v>24</v>
      </c>
      <c r="Q1556" t="s">
        <v>24</v>
      </c>
    </row>
    <row r="1557" spans="1:17" x14ac:dyDescent="0.25">
      <c r="A1557" t="s">
        <v>7653</v>
      </c>
      <c r="B1557" t="s">
        <v>7654</v>
      </c>
      <c r="C1557" s="1">
        <v>41275</v>
      </c>
      <c r="D1557" s="1">
        <v>41639</v>
      </c>
      <c r="E1557" t="s">
        <v>7655</v>
      </c>
      <c r="G1557" t="s">
        <v>7656</v>
      </c>
      <c r="H1557" t="s">
        <v>42</v>
      </c>
      <c r="I1557" t="str">
        <f>"53120"</f>
        <v>53120</v>
      </c>
      <c r="J1557" t="s">
        <v>22</v>
      </c>
      <c r="K1557" t="s">
        <v>23</v>
      </c>
      <c r="L1557" s="2">
        <v>2687607</v>
      </c>
      <c r="M1557" s="2">
        <v>2763492</v>
      </c>
      <c r="N1557" s="2">
        <v>0</v>
      </c>
      <c r="O1557" s="2">
        <v>179919</v>
      </c>
      <c r="P1557" t="s">
        <v>24</v>
      </c>
      <c r="Q1557" t="s">
        <v>24</v>
      </c>
    </row>
    <row r="1558" spans="1:17" x14ac:dyDescent="0.25">
      <c r="A1558" t="s">
        <v>4344</v>
      </c>
      <c r="B1558" t="s">
        <v>4345</v>
      </c>
      <c r="C1558" s="1">
        <v>41275</v>
      </c>
      <c r="D1558" s="1">
        <v>41639</v>
      </c>
      <c r="E1558" t="s">
        <v>4346</v>
      </c>
      <c r="G1558" t="s">
        <v>1792</v>
      </c>
      <c r="H1558" t="s">
        <v>47</v>
      </c>
      <c r="I1558" t="str">
        <f>"48303"</f>
        <v>48303</v>
      </c>
      <c r="J1558" t="s">
        <v>22</v>
      </c>
      <c r="K1558" t="s">
        <v>30</v>
      </c>
      <c r="L1558" s="2">
        <v>2684247</v>
      </c>
      <c r="M1558" s="2">
        <v>1828780</v>
      </c>
      <c r="N1558" s="2">
        <v>0</v>
      </c>
      <c r="O1558" s="2">
        <v>601060</v>
      </c>
      <c r="P1558" t="s">
        <v>24</v>
      </c>
      <c r="Q1558" t="s">
        <v>24</v>
      </c>
    </row>
    <row r="1559" spans="1:17" x14ac:dyDescent="0.25">
      <c r="A1559" t="s">
        <v>7328</v>
      </c>
      <c r="B1559" t="s">
        <v>7329</v>
      </c>
      <c r="C1559" s="1">
        <v>41275</v>
      </c>
      <c r="D1559" s="1">
        <v>41639</v>
      </c>
      <c r="E1559" t="s">
        <v>7330</v>
      </c>
      <c r="G1559" t="s">
        <v>843</v>
      </c>
      <c r="H1559" t="s">
        <v>29</v>
      </c>
      <c r="I1559" t="str">
        <f>"61107"</f>
        <v>61107</v>
      </c>
      <c r="J1559" t="s">
        <v>22</v>
      </c>
      <c r="K1559" t="s">
        <v>23</v>
      </c>
      <c r="L1559" s="2">
        <v>2682393</v>
      </c>
      <c r="M1559" s="2">
        <v>1393135</v>
      </c>
      <c r="N1559" s="2">
        <v>0</v>
      </c>
      <c r="O1559" s="2">
        <v>262875</v>
      </c>
      <c r="P1559" t="s">
        <v>24</v>
      </c>
      <c r="Q1559" t="s">
        <v>24</v>
      </c>
    </row>
    <row r="1560" spans="1:17" x14ac:dyDescent="0.25">
      <c r="A1560" t="s">
        <v>4060</v>
      </c>
      <c r="B1560" t="s">
        <v>4061</v>
      </c>
      <c r="C1560" s="1">
        <v>41275</v>
      </c>
      <c r="D1560" s="1">
        <v>41639</v>
      </c>
      <c r="E1560" t="s">
        <v>4062</v>
      </c>
      <c r="G1560" t="s">
        <v>28</v>
      </c>
      <c r="H1560" t="s">
        <v>29</v>
      </c>
      <c r="I1560" t="str">
        <f>"60646"</f>
        <v>60646</v>
      </c>
      <c r="J1560" t="s">
        <v>22</v>
      </c>
      <c r="K1560" t="s">
        <v>30</v>
      </c>
      <c r="L1560" s="2">
        <v>2682193</v>
      </c>
      <c r="M1560" s="2">
        <v>567730</v>
      </c>
      <c r="N1560" s="2">
        <v>0</v>
      </c>
      <c r="O1560" s="2">
        <v>328708</v>
      </c>
      <c r="P1560" t="s">
        <v>24</v>
      </c>
      <c r="Q1560" t="s">
        <v>24</v>
      </c>
    </row>
    <row r="1561" spans="1:17" x14ac:dyDescent="0.25">
      <c r="A1561" t="s">
        <v>5199</v>
      </c>
      <c r="B1561" t="s">
        <v>5200</v>
      </c>
      <c r="C1561" s="1">
        <v>41275</v>
      </c>
      <c r="D1561" s="1">
        <v>41639</v>
      </c>
      <c r="E1561" t="s">
        <v>5201</v>
      </c>
      <c r="G1561" t="s">
        <v>28</v>
      </c>
      <c r="H1561" t="s">
        <v>29</v>
      </c>
      <c r="I1561" t="str">
        <f>"60606"</f>
        <v>60606</v>
      </c>
      <c r="J1561" t="s">
        <v>22</v>
      </c>
      <c r="K1561" t="s">
        <v>23</v>
      </c>
      <c r="L1561" s="2">
        <v>2668259</v>
      </c>
      <c r="M1561" s="2">
        <v>476974</v>
      </c>
      <c r="N1561" s="2">
        <v>0</v>
      </c>
      <c r="O1561" s="2">
        <v>182541</v>
      </c>
      <c r="P1561" t="s">
        <v>24</v>
      </c>
      <c r="Q1561" t="s">
        <v>24</v>
      </c>
    </row>
    <row r="1562" spans="1:17" x14ac:dyDescent="0.25">
      <c r="A1562" t="s">
        <v>4413</v>
      </c>
      <c r="B1562" t="s">
        <v>4414</v>
      </c>
      <c r="C1562" s="1">
        <v>41456</v>
      </c>
      <c r="D1562" s="1">
        <v>41820</v>
      </c>
      <c r="E1562" t="s">
        <v>4415</v>
      </c>
      <c r="G1562" t="s">
        <v>4416</v>
      </c>
      <c r="H1562" t="s">
        <v>21</v>
      </c>
      <c r="I1562" t="str">
        <f>"46567"</f>
        <v>46567</v>
      </c>
      <c r="J1562" t="s">
        <v>22</v>
      </c>
      <c r="K1562" t="s">
        <v>30</v>
      </c>
      <c r="L1562" s="2">
        <v>2667713</v>
      </c>
      <c r="M1562" s="2">
        <v>974468</v>
      </c>
      <c r="N1562" s="2">
        <v>0</v>
      </c>
      <c r="O1562" s="2">
        <v>206196</v>
      </c>
      <c r="P1562" t="s">
        <v>24</v>
      </c>
      <c r="Q1562" t="s">
        <v>24</v>
      </c>
    </row>
    <row r="1563" spans="1:17" x14ac:dyDescent="0.25">
      <c r="A1563" t="s">
        <v>4069</v>
      </c>
      <c r="B1563" t="s">
        <v>4070</v>
      </c>
      <c r="C1563" s="1">
        <v>41275</v>
      </c>
      <c r="D1563" s="1">
        <v>41639</v>
      </c>
      <c r="E1563" t="s">
        <v>367</v>
      </c>
      <c r="G1563" t="s">
        <v>28</v>
      </c>
      <c r="H1563" t="s">
        <v>29</v>
      </c>
      <c r="I1563" t="str">
        <f>"60606"</f>
        <v>60606</v>
      </c>
      <c r="J1563" t="s">
        <v>22</v>
      </c>
      <c r="K1563" t="s">
        <v>30</v>
      </c>
      <c r="L1563" s="2">
        <v>2665159</v>
      </c>
      <c r="M1563" s="2">
        <v>335064</v>
      </c>
      <c r="N1563" s="2">
        <v>0</v>
      </c>
      <c r="O1563" s="2">
        <v>111489</v>
      </c>
      <c r="P1563" t="s">
        <v>24</v>
      </c>
      <c r="Q1563" t="s">
        <v>24</v>
      </c>
    </row>
    <row r="1564" spans="1:17" x14ac:dyDescent="0.25">
      <c r="A1564" t="s">
        <v>3734</v>
      </c>
      <c r="B1564" t="s">
        <v>3735</v>
      </c>
      <c r="C1564" s="1">
        <v>41275</v>
      </c>
      <c r="D1564" s="1">
        <v>41639</v>
      </c>
      <c r="E1564" t="s">
        <v>3736</v>
      </c>
      <c r="G1564" t="s">
        <v>535</v>
      </c>
      <c r="H1564" t="s">
        <v>62</v>
      </c>
      <c r="I1564" t="str">
        <f>"44902"</f>
        <v>44902</v>
      </c>
      <c r="J1564" t="s">
        <v>22</v>
      </c>
      <c r="K1564" t="s">
        <v>23</v>
      </c>
      <c r="L1564" s="2">
        <v>2659824</v>
      </c>
      <c r="M1564" s="2">
        <v>336543</v>
      </c>
      <c r="N1564" s="2">
        <v>0</v>
      </c>
      <c r="O1564" s="2">
        <v>234234</v>
      </c>
      <c r="P1564" t="s">
        <v>24</v>
      </c>
      <c r="Q1564" t="s">
        <v>24</v>
      </c>
    </row>
    <row r="1565" spans="1:17" x14ac:dyDescent="0.25">
      <c r="A1565" t="s">
        <v>5840</v>
      </c>
      <c r="B1565" t="s">
        <v>5841</v>
      </c>
      <c r="C1565" s="1">
        <v>41275</v>
      </c>
      <c r="D1565" s="1">
        <v>41639</v>
      </c>
      <c r="E1565" t="s">
        <v>5842</v>
      </c>
      <c r="G1565" t="s">
        <v>20</v>
      </c>
      <c r="H1565" t="s">
        <v>21</v>
      </c>
      <c r="I1565" t="str">
        <f>"46204"</f>
        <v>46204</v>
      </c>
      <c r="J1565" t="s">
        <v>63</v>
      </c>
      <c r="K1565" t="s">
        <v>79</v>
      </c>
      <c r="L1565" s="2">
        <v>2657716</v>
      </c>
      <c r="M1565" s="2">
        <v>944913</v>
      </c>
      <c r="N1565" s="2">
        <v>866788</v>
      </c>
      <c r="O1565" s="2">
        <v>1338963</v>
      </c>
      <c r="P1565" s="2">
        <v>165866</v>
      </c>
      <c r="Q1565" s="2">
        <v>83950</v>
      </c>
    </row>
    <row r="1566" spans="1:17" x14ac:dyDescent="0.25">
      <c r="A1566" t="s">
        <v>3471</v>
      </c>
      <c r="B1566" t="s">
        <v>3472</v>
      </c>
      <c r="C1566" s="1">
        <v>41518</v>
      </c>
      <c r="D1566" s="1">
        <v>41882</v>
      </c>
      <c r="E1566" t="s">
        <v>104</v>
      </c>
      <c r="G1566" t="s">
        <v>28</v>
      </c>
      <c r="H1566" t="s">
        <v>29</v>
      </c>
      <c r="I1566" t="str">
        <f>"60680"</f>
        <v>60680</v>
      </c>
      <c r="J1566" t="s">
        <v>22</v>
      </c>
      <c r="K1566" t="s">
        <v>30</v>
      </c>
      <c r="L1566" s="2">
        <v>2657339</v>
      </c>
      <c r="M1566" s="2">
        <v>1489362</v>
      </c>
      <c r="N1566" s="2">
        <v>0</v>
      </c>
      <c r="O1566" s="2">
        <v>103609</v>
      </c>
      <c r="P1566" t="s">
        <v>24</v>
      </c>
      <c r="Q1566" t="s">
        <v>24</v>
      </c>
    </row>
    <row r="1567" spans="1:17" x14ac:dyDescent="0.25">
      <c r="A1567" t="s">
        <v>7340</v>
      </c>
      <c r="B1567" t="s">
        <v>7341</v>
      </c>
      <c r="C1567" s="1">
        <v>41275</v>
      </c>
      <c r="D1567" s="1">
        <v>41639</v>
      </c>
      <c r="E1567" t="s">
        <v>7342</v>
      </c>
      <c r="G1567" t="s">
        <v>1792</v>
      </c>
      <c r="H1567" t="s">
        <v>47</v>
      </c>
      <c r="I1567" t="str">
        <f>"48304"</f>
        <v>48304</v>
      </c>
      <c r="J1567" t="s">
        <v>22</v>
      </c>
      <c r="K1567" t="s">
        <v>23</v>
      </c>
      <c r="L1567" s="2">
        <v>2654108</v>
      </c>
      <c r="M1567" s="2">
        <v>3149159</v>
      </c>
      <c r="N1567" s="2">
        <v>1360</v>
      </c>
      <c r="O1567" s="2">
        <v>134181</v>
      </c>
      <c r="P1567" t="s">
        <v>24</v>
      </c>
      <c r="Q1567" t="s">
        <v>24</v>
      </c>
    </row>
    <row r="1568" spans="1:17" x14ac:dyDescent="0.25">
      <c r="A1568" t="s">
        <v>1706</v>
      </c>
      <c r="B1568" t="s">
        <v>1707</v>
      </c>
      <c r="C1568" s="1">
        <v>41275</v>
      </c>
      <c r="D1568" s="1">
        <v>41639</v>
      </c>
      <c r="E1568" t="s">
        <v>1708</v>
      </c>
      <c r="G1568" t="s">
        <v>28</v>
      </c>
      <c r="H1568" t="s">
        <v>29</v>
      </c>
      <c r="I1568" t="str">
        <f>"60606"</f>
        <v>60606</v>
      </c>
      <c r="J1568" t="s">
        <v>22</v>
      </c>
      <c r="K1568" t="s">
        <v>30</v>
      </c>
      <c r="L1568" s="2">
        <v>2653454</v>
      </c>
      <c r="M1568" s="2">
        <v>387197</v>
      </c>
      <c r="N1568" s="2">
        <v>5764</v>
      </c>
      <c r="O1568" s="2">
        <v>314533</v>
      </c>
      <c r="P1568" t="s">
        <v>24</v>
      </c>
      <c r="Q1568" t="s">
        <v>24</v>
      </c>
    </row>
    <row r="1569" spans="1:17" x14ac:dyDescent="0.25">
      <c r="A1569" t="s">
        <v>4442</v>
      </c>
      <c r="B1569" t="s">
        <v>4443</v>
      </c>
      <c r="C1569" s="1">
        <v>41091</v>
      </c>
      <c r="D1569" s="1">
        <v>41455</v>
      </c>
      <c r="E1569" t="s">
        <v>4444</v>
      </c>
      <c r="G1569" t="s">
        <v>28</v>
      </c>
      <c r="H1569" t="s">
        <v>29</v>
      </c>
      <c r="I1569" t="str">
        <f>"60611"</f>
        <v>60611</v>
      </c>
      <c r="J1569" t="s">
        <v>63</v>
      </c>
      <c r="K1569" t="s">
        <v>79</v>
      </c>
      <c r="L1569" s="2">
        <v>2653115</v>
      </c>
      <c r="M1569" s="2">
        <v>1226380</v>
      </c>
      <c r="N1569" s="2">
        <v>1003885</v>
      </c>
      <c r="O1569" s="2">
        <v>1080079</v>
      </c>
      <c r="P1569" s="2">
        <v>32760</v>
      </c>
      <c r="Q1569" s="2">
        <v>0</v>
      </c>
    </row>
    <row r="1570" spans="1:17" x14ac:dyDescent="0.25">
      <c r="A1570" t="s">
        <v>3273</v>
      </c>
      <c r="B1570" t="s">
        <v>3274</v>
      </c>
      <c r="C1570" s="1">
        <v>40725</v>
      </c>
      <c r="D1570" s="1">
        <v>41090</v>
      </c>
      <c r="E1570" t="s">
        <v>3275</v>
      </c>
      <c r="G1570" t="s">
        <v>1437</v>
      </c>
      <c r="H1570" t="s">
        <v>29</v>
      </c>
      <c r="I1570" t="str">
        <f>"60076"</f>
        <v>60076</v>
      </c>
      <c r="J1570" s="3" t="s">
        <v>109</v>
      </c>
      <c r="K1570" t="s">
        <v>30</v>
      </c>
      <c r="L1570" s="2">
        <v>2648125</v>
      </c>
      <c r="M1570" s="2">
        <v>1543315</v>
      </c>
      <c r="N1570" s="2">
        <v>2190113</v>
      </c>
      <c r="O1570" s="2">
        <v>2020276</v>
      </c>
      <c r="P1570" t="s">
        <v>24</v>
      </c>
      <c r="Q1570" t="s">
        <v>24</v>
      </c>
    </row>
    <row r="1571" spans="1:17" x14ac:dyDescent="0.25">
      <c r="A1571" t="s">
        <v>1123</v>
      </c>
      <c r="B1571" t="s">
        <v>1124</v>
      </c>
      <c r="C1571" s="1">
        <v>41518</v>
      </c>
      <c r="D1571" s="1">
        <v>41882</v>
      </c>
      <c r="E1571" t="s">
        <v>146</v>
      </c>
      <c r="G1571" t="s">
        <v>147</v>
      </c>
      <c r="H1571" t="s">
        <v>62</v>
      </c>
      <c r="I1571" t="str">
        <f>"44308"</f>
        <v>44308</v>
      </c>
      <c r="J1571" t="s">
        <v>22</v>
      </c>
      <c r="K1571" t="s">
        <v>23</v>
      </c>
      <c r="L1571" s="2">
        <v>2646722</v>
      </c>
      <c r="M1571" s="2">
        <v>280120</v>
      </c>
      <c r="N1571" s="2">
        <v>0</v>
      </c>
      <c r="O1571" s="2">
        <v>75367</v>
      </c>
      <c r="P1571" t="s">
        <v>24</v>
      </c>
      <c r="Q1571" t="s">
        <v>24</v>
      </c>
    </row>
    <row r="1572" spans="1:17" x14ac:dyDescent="0.25">
      <c r="A1572" t="s">
        <v>6052</v>
      </c>
      <c r="B1572" t="s">
        <v>6053</v>
      </c>
      <c r="C1572" s="1">
        <v>41275</v>
      </c>
      <c r="D1572" s="1">
        <v>41639</v>
      </c>
      <c r="E1572" t="s">
        <v>50</v>
      </c>
      <c r="G1572" t="s">
        <v>28</v>
      </c>
      <c r="H1572" t="s">
        <v>29</v>
      </c>
      <c r="I1572" t="str">
        <f>"60603"</f>
        <v>60603</v>
      </c>
      <c r="J1572" t="s">
        <v>22</v>
      </c>
      <c r="K1572" t="s">
        <v>79</v>
      </c>
      <c r="L1572" s="2">
        <v>2645788</v>
      </c>
      <c r="M1572" s="2">
        <v>1256187</v>
      </c>
      <c r="N1572" s="2">
        <v>0</v>
      </c>
      <c r="O1572" s="2">
        <v>133820</v>
      </c>
      <c r="P1572" t="s">
        <v>24</v>
      </c>
      <c r="Q1572" t="s">
        <v>24</v>
      </c>
    </row>
    <row r="1573" spans="1:17" x14ac:dyDescent="0.25">
      <c r="A1573" t="s">
        <v>7387</v>
      </c>
      <c r="B1573" t="s">
        <v>7388</v>
      </c>
      <c r="C1573" s="1">
        <v>41275</v>
      </c>
      <c r="D1573" s="1">
        <v>41639</v>
      </c>
      <c r="E1573" t="s">
        <v>7389</v>
      </c>
      <c r="G1573" t="s">
        <v>28</v>
      </c>
      <c r="H1573" t="s">
        <v>29</v>
      </c>
      <c r="I1573" t="str">
        <f>"60654"</f>
        <v>60654</v>
      </c>
      <c r="J1573" t="s">
        <v>22</v>
      </c>
      <c r="K1573" t="s">
        <v>23</v>
      </c>
      <c r="L1573" s="2">
        <v>2627792</v>
      </c>
      <c r="M1573" s="2">
        <v>1449685</v>
      </c>
      <c r="N1573" s="2">
        <v>0</v>
      </c>
      <c r="O1573" s="2">
        <v>226296</v>
      </c>
      <c r="P1573" t="s">
        <v>24</v>
      </c>
      <c r="Q1573" t="s">
        <v>24</v>
      </c>
    </row>
    <row r="1574" spans="1:17" x14ac:dyDescent="0.25">
      <c r="A1574" t="s">
        <v>2834</v>
      </c>
      <c r="B1574" t="s">
        <v>2835</v>
      </c>
      <c r="C1574" s="1">
        <v>41275</v>
      </c>
      <c r="D1574" s="1">
        <v>41639</v>
      </c>
      <c r="E1574" t="s">
        <v>2836</v>
      </c>
      <c r="G1574" t="s">
        <v>833</v>
      </c>
      <c r="H1574" t="s">
        <v>29</v>
      </c>
      <c r="I1574" t="str">
        <f>"61702"</f>
        <v>61702</v>
      </c>
      <c r="J1574" t="s">
        <v>22</v>
      </c>
      <c r="K1574" t="s">
        <v>30</v>
      </c>
      <c r="L1574" s="2">
        <v>2625969</v>
      </c>
      <c r="M1574" s="2">
        <v>35774</v>
      </c>
      <c r="N1574" s="2">
        <v>0</v>
      </c>
      <c r="O1574" s="2">
        <v>127571</v>
      </c>
      <c r="P1574" t="s">
        <v>24</v>
      </c>
      <c r="Q1574" t="s">
        <v>24</v>
      </c>
    </row>
    <row r="1575" spans="1:17" x14ac:dyDescent="0.25">
      <c r="A1575" t="s">
        <v>7105</v>
      </c>
      <c r="B1575" t="s">
        <v>7106</v>
      </c>
      <c r="C1575" s="1">
        <v>41275</v>
      </c>
      <c r="D1575" s="1">
        <v>41639</v>
      </c>
      <c r="E1575" t="s">
        <v>7107</v>
      </c>
      <c r="G1575" t="s">
        <v>167</v>
      </c>
      <c r="H1575" t="s">
        <v>62</v>
      </c>
      <c r="I1575" t="str">
        <f>"45233"</f>
        <v>45233</v>
      </c>
      <c r="J1575" t="s">
        <v>22</v>
      </c>
      <c r="K1575" t="s">
        <v>23</v>
      </c>
      <c r="L1575" s="2">
        <v>2624962</v>
      </c>
      <c r="M1575" s="2">
        <v>1514651</v>
      </c>
      <c r="N1575" s="2">
        <v>0</v>
      </c>
      <c r="O1575" s="2">
        <v>70803</v>
      </c>
      <c r="P1575" t="s">
        <v>24</v>
      </c>
      <c r="Q1575" t="s">
        <v>24</v>
      </c>
    </row>
    <row r="1576" spans="1:17" x14ac:dyDescent="0.25">
      <c r="A1576" t="s">
        <v>5914</v>
      </c>
      <c r="B1576" t="s">
        <v>5915</v>
      </c>
      <c r="C1576" s="1">
        <v>41275</v>
      </c>
      <c r="D1576" s="1">
        <v>41639</v>
      </c>
      <c r="E1576" t="s">
        <v>5916</v>
      </c>
      <c r="G1576" t="s">
        <v>4711</v>
      </c>
      <c r="H1576" t="s">
        <v>29</v>
      </c>
      <c r="I1576" t="str">
        <f>"60014"</f>
        <v>60014</v>
      </c>
      <c r="J1576" t="s">
        <v>22</v>
      </c>
      <c r="K1576" t="s">
        <v>30</v>
      </c>
      <c r="L1576" s="2">
        <v>2622487</v>
      </c>
      <c r="M1576" s="2">
        <v>69850</v>
      </c>
      <c r="N1576" s="2">
        <v>0</v>
      </c>
      <c r="O1576" s="2">
        <v>189151</v>
      </c>
      <c r="P1576" t="s">
        <v>24</v>
      </c>
      <c r="Q1576" t="s">
        <v>24</v>
      </c>
    </row>
    <row r="1577" spans="1:17" x14ac:dyDescent="0.25">
      <c r="A1577" t="s">
        <v>5271</v>
      </c>
      <c r="B1577" t="s">
        <v>5272</v>
      </c>
      <c r="C1577" s="1">
        <v>41091</v>
      </c>
      <c r="D1577" s="1">
        <v>41455</v>
      </c>
      <c r="E1577" t="s">
        <v>5273</v>
      </c>
      <c r="G1577" t="s">
        <v>2265</v>
      </c>
      <c r="H1577" t="s">
        <v>29</v>
      </c>
      <c r="I1577" t="str">
        <f>"62231"</f>
        <v>62231</v>
      </c>
      <c r="J1577" t="s">
        <v>63</v>
      </c>
      <c r="K1577" t="s">
        <v>23</v>
      </c>
      <c r="L1577" s="2">
        <v>2620435</v>
      </c>
      <c r="M1577" s="2">
        <v>178587</v>
      </c>
      <c r="N1577" s="2">
        <v>3609</v>
      </c>
      <c r="O1577" s="2">
        <v>77612</v>
      </c>
      <c r="P1577" s="2">
        <v>7539</v>
      </c>
      <c r="Q1577" s="2">
        <v>18767</v>
      </c>
    </row>
    <row r="1578" spans="1:17" x14ac:dyDescent="0.25">
      <c r="A1578" t="s">
        <v>5102</v>
      </c>
      <c r="B1578" t="s">
        <v>5103</v>
      </c>
      <c r="C1578" s="1">
        <v>41275</v>
      </c>
      <c r="D1578" s="1">
        <v>41639</v>
      </c>
      <c r="E1578" t="s">
        <v>5104</v>
      </c>
      <c r="G1578" t="s">
        <v>28</v>
      </c>
      <c r="H1578" t="s">
        <v>29</v>
      </c>
      <c r="I1578" t="str">
        <f>"60601"</f>
        <v>60601</v>
      </c>
      <c r="J1578" t="s">
        <v>22</v>
      </c>
      <c r="K1578" t="s">
        <v>30</v>
      </c>
      <c r="L1578" s="2">
        <v>2620343</v>
      </c>
      <c r="M1578" s="2">
        <v>2373785</v>
      </c>
      <c r="N1578" s="2">
        <v>0</v>
      </c>
      <c r="O1578" s="2">
        <v>2295435</v>
      </c>
      <c r="P1578" t="s">
        <v>24</v>
      </c>
      <c r="Q1578" t="s">
        <v>24</v>
      </c>
    </row>
    <row r="1579" spans="1:17" x14ac:dyDescent="0.25">
      <c r="A1579" t="s">
        <v>5655</v>
      </c>
      <c r="B1579" t="s">
        <v>5656</v>
      </c>
      <c r="C1579" s="1">
        <v>41275</v>
      </c>
      <c r="D1579" s="1">
        <v>41639</v>
      </c>
      <c r="E1579" t="s">
        <v>5657</v>
      </c>
      <c r="G1579" t="s">
        <v>2110</v>
      </c>
      <c r="H1579" t="s">
        <v>47</v>
      </c>
      <c r="I1579" t="str">
        <f>"48917"</f>
        <v>48917</v>
      </c>
      <c r="J1579" t="s">
        <v>22</v>
      </c>
      <c r="K1579" t="s">
        <v>30</v>
      </c>
      <c r="L1579" s="2">
        <v>2615748</v>
      </c>
      <c r="M1579" s="2">
        <v>3439616</v>
      </c>
      <c r="N1579" s="2">
        <v>0</v>
      </c>
      <c r="O1579" s="2">
        <v>111407</v>
      </c>
      <c r="P1579" t="s">
        <v>24</v>
      </c>
      <c r="Q1579" t="s">
        <v>24</v>
      </c>
    </row>
    <row r="1580" spans="1:17" x14ac:dyDescent="0.25">
      <c r="A1580" t="s">
        <v>5011</v>
      </c>
      <c r="B1580" t="s">
        <v>5012</v>
      </c>
      <c r="C1580" s="1">
        <v>41275</v>
      </c>
      <c r="D1580" s="1">
        <v>41639</v>
      </c>
      <c r="E1580" t="s">
        <v>1708</v>
      </c>
      <c r="G1580" t="s">
        <v>28</v>
      </c>
      <c r="H1580" t="s">
        <v>29</v>
      </c>
      <c r="I1580" t="str">
        <f>"60606"</f>
        <v>60606</v>
      </c>
      <c r="J1580" t="s">
        <v>22</v>
      </c>
      <c r="K1580" t="s">
        <v>23</v>
      </c>
      <c r="L1580" s="2">
        <v>2613605</v>
      </c>
      <c r="M1580" s="2">
        <v>345659</v>
      </c>
      <c r="N1580" s="2">
        <v>12171</v>
      </c>
      <c r="O1580" s="2">
        <v>243595</v>
      </c>
      <c r="P1580" t="s">
        <v>24</v>
      </c>
      <c r="Q1580" t="s">
        <v>24</v>
      </c>
    </row>
    <row r="1581" spans="1:17" x14ac:dyDescent="0.25">
      <c r="A1581" t="s">
        <v>5258</v>
      </c>
      <c r="B1581" t="s">
        <v>5259</v>
      </c>
      <c r="C1581" s="1">
        <v>41275</v>
      </c>
      <c r="D1581" s="1">
        <v>41639</v>
      </c>
      <c r="E1581" t="s">
        <v>5260</v>
      </c>
      <c r="G1581" t="s">
        <v>119</v>
      </c>
      <c r="H1581" t="s">
        <v>29</v>
      </c>
      <c r="I1581" t="str">
        <f>"60089"</f>
        <v>60089</v>
      </c>
      <c r="J1581" t="s">
        <v>22</v>
      </c>
      <c r="K1581" t="s">
        <v>23</v>
      </c>
      <c r="L1581" s="2">
        <v>2598761</v>
      </c>
      <c r="M1581" s="2">
        <v>556857</v>
      </c>
      <c r="N1581" s="2">
        <v>0</v>
      </c>
      <c r="O1581" s="2">
        <v>89177</v>
      </c>
      <c r="P1581" t="s">
        <v>24</v>
      </c>
      <c r="Q1581" t="s">
        <v>24</v>
      </c>
    </row>
    <row r="1582" spans="1:17" x14ac:dyDescent="0.25">
      <c r="A1582" t="s">
        <v>2324</v>
      </c>
      <c r="B1582" t="s">
        <v>2325</v>
      </c>
      <c r="C1582" s="1">
        <v>41275</v>
      </c>
      <c r="D1582" s="1">
        <v>41639</v>
      </c>
      <c r="E1582" t="s">
        <v>2326</v>
      </c>
      <c r="G1582" t="s">
        <v>783</v>
      </c>
      <c r="H1582" t="s">
        <v>21</v>
      </c>
      <c r="I1582" t="str">
        <f>"46032"</f>
        <v>46032</v>
      </c>
      <c r="J1582" t="s">
        <v>22</v>
      </c>
      <c r="K1582" t="s">
        <v>23</v>
      </c>
      <c r="L1582" s="2">
        <v>2594795</v>
      </c>
      <c r="M1582" s="2">
        <v>200178</v>
      </c>
      <c r="N1582" s="2">
        <v>0</v>
      </c>
      <c r="O1582" s="2">
        <v>155622</v>
      </c>
      <c r="P1582" t="s">
        <v>24</v>
      </c>
      <c r="Q1582" t="s">
        <v>24</v>
      </c>
    </row>
    <row r="1583" spans="1:17" x14ac:dyDescent="0.25">
      <c r="A1583" t="s">
        <v>5408</v>
      </c>
      <c r="B1583" t="s">
        <v>5409</v>
      </c>
      <c r="C1583" s="1">
        <v>41275</v>
      </c>
      <c r="D1583" s="1">
        <v>41639</v>
      </c>
      <c r="E1583" t="s">
        <v>5410</v>
      </c>
      <c r="G1583" t="s">
        <v>5411</v>
      </c>
      <c r="H1583" t="s">
        <v>42</v>
      </c>
      <c r="I1583" t="str">
        <f>"54409"</f>
        <v>54409</v>
      </c>
      <c r="J1583" t="s">
        <v>63</v>
      </c>
      <c r="K1583" t="s">
        <v>64</v>
      </c>
      <c r="L1583" s="2">
        <v>2594448</v>
      </c>
      <c r="M1583" s="2">
        <v>298697</v>
      </c>
      <c r="N1583" s="2">
        <v>0</v>
      </c>
      <c r="O1583" s="2">
        <v>145809</v>
      </c>
      <c r="P1583" s="2">
        <v>25817</v>
      </c>
      <c r="Q1583" s="2">
        <v>0</v>
      </c>
    </row>
    <row r="1584" spans="1:17" x14ac:dyDescent="0.25">
      <c r="A1584" t="s">
        <v>212</v>
      </c>
      <c r="B1584" t="s">
        <v>213</v>
      </c>
      <c r="C1584" s="1">
        <v>41275</v>
      </c>
      <c r="D1584" s="1">
        <v>41639</v>
      </c>
      <c r="E1584" t="s">
        <v>214</v>
      </c>
      <c r="G1584" t="s">
        <v>215</v>
      </c>
      <c r="H1584" t="s">
        <v>42</v>
      </c>
      <c r="I1584" t="str">
        <f>"53511"</f>
        <v>53511</v>
      </c>
      <c r="J1584" t="s">
        <v>22</v>
      </c>
      <c r="K1584" t="s">
        <v>30</v>
      </c>
      <c r="L1584" s="2">
        <v>2594290</v>
      </c>
      <c r="M1584" s="2">
        <v>181940</v>
      </c>
      <c r="N1584" s="2">
        <v>0</v>
      </c>
      <c r="O1584" s="2">
        <v>94908</v>
      </c>
      <c r="P1584" t="s">
        <v>24</v>
      </c>
      <c r="Q1584" t="s">
        <v>24</v>
      </c>
    </row>
    <row r="1585" spans="1:17" x14ac:dyDescent="0.25">
      <c r="A1585" t="s">
        <v>5165</v>
      </c>
      <c r="B1585" t="s">
        <v>5166</v>
      </c>
      <c r="C1585" s="1">
        <v>41456</v>
      </c>
      <c r="D1585" s="1">
        <v>41820</v>
      </c>
      <c r="E1585" t="s">
        <v>5167</v>
      </c>
      <c r="G1585" t="s">
        <v>5168</v>
      </c>
      <c r="H1585" t="s">
        <v>42</v>
      </c>
      <c r="I1585" t="str">
        <f>"53105"</f>
        <v>53105</v>
      </c>
      <c r="J1585" t="s">
        <v>22</v>
      </c>
      <c r="K1585" t="s">
        <v>23</v>
      </c>
      <c r="L1585" s="2">
        <v>2585242</v>
      </c>
      <c r="M1585" s="2">
        <v>728295</v>
      </c>
      <c r="N1585" s="2">
        <v>0</v>
      </c>
      <c r="O1585" s="2">
        <v>180759</v>
      </c>
      <c r="P1585" t="s">
        <v>24</v>
      </c>
      <c r="Q1585" t="s">
        <v>24</v>
      </c>
    </row>
    <row r="1586" spans="1:17" x14ac:dyDescent="0.25">
      <c r="A1586" t="s">
        <v>6345</v>
      </c>
      <c r="B1586" t="s">
        <v>6346</v>
      </c>
      <c r="C1586" s="1">
        <v>41275</v>
      </c>
      <c r="D1586" s="1">
        <v>41639</v>
      </c>
      <c r="E1586" t="s">
        <v>6347</v>
      </c>
      <c r="G1586" t="s">
        <v>6348</v>
      </c>
      <c r="H1586" t="s">
        <v>78</v>
      </c>
      <c r="I1586" t="str">
        <f>"42071"</f>
        <v>42071</v>
      </c>
      <c r="J1586" t="s">
        <v>22</v>
      </c>
      <c r="K1586" t="s">
        <v>30</v>
      </c>
      <c r="L1586" s="2">
        <v>2577907</v>
      </c>
      <c r="M1586" s="2">
        <v>1014194</v>
      </c>
      <c r="N1586" s="2">
        <v>0</v>
      </c>
      <c r="O1586" s="2">
        <v>110092</v>
      </c>
      <c r="P1586" t="s">
        <v>24</v>
      </c>
      <c r="Q1586" t="s">
        <v>24</v>
      </c>
    </row>
    <row r="1587" spans="1:17" x14ac:dyDescent="0.25">
      <c r="A1587" t="s">
        <v>5863</v>
      </c>
      <c r="B1587" t="s">
        <v>5864</v>
      </c>
      <c r="C1587" s="1">
        <v>41275</v>
      </c>
      <c r="D1587" s="1">
        <v>41639</v>
      </c>
      <c r="E1587" t="s">
        <v>5865</v>
      </c>
      <c r="G1587" t="s">
        <v>139</v>
      </c>
      <c r="H1587" t="s">
        <v>47</v>
      </c>
      <c r="I1587" t="str">
        <f>"49503"</f>
        <v>49503</v>
      </c>
      <c r="J1587" t="s">
        <v>22</v>
      </c>
      <c r="K1587" t="s">
        <v>30</v>
      </c>
      <c r="L1587" s="2">
        <v>2570767</v>
      </c>
      <c r="M1587" s="2">
        <v>347284</v>
      </c>
      <c r="N1587" s="2">
        <v>0</v>
      </c>
      <c r="O1587" s="2">
        <v>550236</v>
      </c>
      <c r="P1587" t="s">
        <v>24</v>
      </c>
      <c r="Q1587" t="s">
        <v>24</v>
      </c>
    </row>
    <row r="1588" spans="1:17" x14ac:dyDescent="0.25">
      <c r="A1588" t="s">
        <v>3847</v>
      </c>
      <c r="B1588" t="s">
        <v>3848</v>
      </c>
      <c r="C1588" s="1">
        <v>41275</v>
      </c>
      <c r="D1588" s="1">
        <v>41639</v>
      </c>
      <c r="E1588" t="s">
        <v>40</v>
      </c>
      <c r="G1588" t="s">
        <v>41</v>
      </c>
      <c r="H1588" t="s">
        <v>42</v>
      </c>
      <c r="I1588" t="str">
        <f>"53201"</f>
        <v>53201</v>
      </c>
      <c r="J1588" t="s">
        <v>22</v>
      </c>
      <c r="K1588" t="s">
        <v>23</v>
      </c>
      <c r="L1588" s="2">
        <v>2560491</v>
      </c>
      <c r="M1588" s="2">
        <v>392753</v>
      </c>
      <c r="N1588" s="2">
        <v>453</v>
      </c>
      <c r="O1588" s="2">
        <v>167518</v>
      </c>
      <c r="P1588" t="s">
        <v>24</v>
      </c>
      <c r="Q1588" t="s">
        <v>24</v>
      </c>
    </row>
    <row r="1589" spans="1:17" x14ac:dyDescent="0.25">
      <c r="A1589" t="s">
        <v>2217</v>
      </c>
      <c r="B1589" t="s">
        <v>2218</v>
      </c>
      <c r="C1589" s="1">
        <v>41275</v>
      </c>
      <c r="D1589" s="1">
        <v>41639</v>
      </c>
      <c r="E1589" t="s">
        <v>2219</v>
      </c>
      <c r="G1589" t="s">
        <v>1818</v>
      </c>
      <c r="H1589" t="s">
        <v>62</v>
      </c>
      <c r="I1589" t="str">
        <f>"44236"</f>
        <v>44236</v>
      </c>
      <c r="J1589" t="s">
        <v>22</v>
      </c>
      <c r="K1589" t="s">
        <v>23</v>
      </c>
      <c r="L1589" s="2">
        <v>2556124</v>
      </c>
      <c r="M1589" s="2">
        <v>745222</v>
      </c>
      <c r="N1589" s="2">
        <v>0</v>
      </c>
      <c r="O1589" s="2">
        <v>272273</v>
      </c>
      <c r="P1589" t="s">
        <v>24</v>
      </c>
      <c r="Q1589" t="s">
        <v>24</v>
      </c>
    </row>
    <row r="1590" spans="1:17" x14ac:dyDescent="0.25">
      <c r="A1590" t="s">
        <v>4063</v>
      </c>
      <c r="B1590" t="s">
        <v>4064</v>
      </c>
      <c r="C1590" s="1">
        <v>41275</v>
      </c>
      <c r="D1590" s="1">
        <v>41639</v>
      </c>
      <c r="E1590" t="s">
        <v>4065</v>
      </c>
      <c r="G1590" t="s">
        <v>1437</v>
      </c>
      <c r="H1590" t="s">
        <v>29</v>
      </c>
      <c r="I1590" t="str">
        <f>"60077"</f>
        <v>60077</v>
      </c>
      <c r="J1590" t="s">
        <v>22</v>
      </c>
      <c r="K1590" t="s">
        <v>30</v>
      </c>
      <c r="L1590" s="2">
        <v>2554893</v>
      </c>
      <c r="M1590" s="2">
        <v>1169186</v>
      </c>
      <c r="N1590" s="2">
        <v>0</v>
      </c>
      <c r="O1590" s="2">
        <v>158325</v>
      </c>
      <c r="P1590" t="s">
        <v>24</v>
      </c>
      <c r="Q1590" t="s">
        <v>24</v>
      </c>
    </row>
    <row r="1591" spans="1:17" x14ac:dyDescent="0.25">
      <c r="A1591" t="s">
        <v>6320</v>
      </c>
      <c r="B1591" t="s">
        <v>6321</v>
      </c>
      <c r="C1591" s="1">
        <v>41456</v>
      </c>
      <c r="D1591" s="1">
        <v>41820</v>
      </c>
      <c r="E1591" t="s">
        <v>6322</v>
      </c>
      <c r="G1591" t="s">
        <v>1028</v>
      </c>
      <c r="H1591" t="s">
        <v>47</v>
      </c>
      <c r="I1591" t="str">
        <f>"48106"</f>
        <v>48106</v>
      </c>
      <c r="J1591" t="s">
        <v>22</v>
      </c>
      <c r="K1591" t="s">
        <v>91</v>
      </c>
      <c r="L1591" s="2">
        <v>2551791</v>
      </c>
      <c r="M1591" s="2">
        <v>1129308</v>
      </c>
      <c r="N1591" s="2">
        <v>0</v>
      </c>
      <c r="O1591" s="2">
        <v>142186</v>
      </c>
      <c r="P1591" t="s">
        <v>24</v>
      </c>
      <c r="Q1591" t="s">
        <v>24</v>
      </c>
    </row>
    <row r="1592" spans="1:17" x14ac:dyDescent="0.25">
      <c r="A1592" t="s">
        <v>3824</v>
      </c>
      <c r="B1592" t="s">
        <v>3825</v>
      </c>
      <c r="C1592" s="1">
        <v>41275</v>
      </c>
      <c r="D1592" s="1">
        <v>41639</v>
      </c>
      <c r="E1592" t="s">
        <v>3826</v>
      </c>
      <c r="G1592" t="s">
        <v>41</v>
      </c>
      <c r="H1592" t="s">
        <v>42</v>
      </c>
      <c r="I1592" t="str">
        <f>"53202"</f>
        <v>53202</v>
      </c>
      <c r="J1592" t="s">
        <v>22</v>
      </c>
      <c r="K1592" t="s">
        <v>30</v>
      </c>
      <c r="L1592" s="2">
        <v>2551686</v>
      </c>
      <c r="M1592" s="2">
        <v>462006</v>
      </c>
      <c r="N1592" s="2">
        <v>0</v>
      </c>
      <c r="O1592" s="2">
        <v>187795</v>
      </c>
      <c r="P1592" t="s">
        <v>24</v>
      </c>
      <c r="Q1592" t="s">
        <v>24</v>
      </c>
    </row>
    <row r="1593" spans="1:17" x14ac:dyDescent="0.25">
      <c r="A1593" t="s">
        <v>5681</v>
      </c>
      <c r="B1593" t="s">
        <v>5682</v>
      </c>
      <c r="C1593" s="1">
        <v>41275</v>
      </c>
      <c r="D1593" s="1">
        <v>41639</v>
      </c>
      <c r="E1593" t="s">
        <v>1496</v>
      </c>
      <c r="G1593" t="s">
        <v>167</v>
      </c>
      <c r="H1593" t="s">
        <v>62</v>
      </c>
      <c r="I1593" t="str">
        <f>"45263"</f>
        <v>45263</v>
      </c>
      <c r="J1593" t="s">
        <v>22</v>
      </c>
      <c r="K1593" t="s">
        <v>30</v>
      </c>
      <c r="L1593" s="2">
        <v>2548711</v>
      </c>
      <c r="M1593" s="2">
        <v>626139</v>
      </c>
      <c r="N1593" s="2">
        <v>0</v>
      </c>
      <c r="O1593" s="2">
        <v>148390</v>
      </c>
      <c r="P1593" t="s">
        <v>24</v>
      </c>
      <c r="Q1593" t="s">
        <v>24</v>
      </c>
    </row>
    <row r="1594" spans="1:17" x14ac:dyDescent="0.25">
      <c r="A1594" t="s">
        <v>1660</v>
      </c>
      <c r="B1594" t="s">
        <v>1661</v>
      </c>
      <c r="C1594" s="1">
        <v>41275</v>
      </c>
      <c r="D1594" s="1">
        <v>41639</v>
      </c>
      <c r="E1594" t="s">
        <v>1662</v>
      </c>
      <c r="G1594" t="s">
        <v>337</v>
      </c>
      <c r="H1594" t="s">
        <v>62</v>
      </c>
      <c r="I1594" t="str">
        <f>"44130"</f>
        <v>44130</v>
      </c>
      <c r="J1594" t="s">
        <v>22</v>
      </c>
      <c r="K1594" t="s">
        <v>23</v>
      </c>
      <c r="L1594" s="2">
        <v>2548676</v>
      </c>
      <c r="M1594" s="2">
        <v>2899757</v>
      </c>
      <c r="N1594" s="2">
        <v>500</v>
      </c>
      <c r="O1594" s="2">
        <v>11885</v>
      </c>
      <c r="P1594" t="s">
        <v>24</v>
      </c>
      <c r="Q1594" t="s">
        <v>24</v>
      </c>
    </row>
    <row r="1595" spans="1:17" x14ac:dyDescent="0.25">
      <c r="A1595" t="s">
        <v>6160</v>
      </c>
      <c r="B1595" t="s">
        <v>6161</v>
      </c>
      <c r="C1595" s="1">
        <v>41275</v>
      </c>
      <c r="D1595" s="1">
        <v>41639</v>
      </c>
      <c r="E1595" t="s">
        <v>2207</v>
      </c>
      <c r="G1595" t="s">
        <v>6162</v>
      </c>
      <c r="H1595" t="s">
        <v>29</v>
      </c>
      <c r="I1595" t="str">
        <f>"61552"</f>
        <v>61552</v>
      </c>
      <c r="J1595" t="s">
        <v>22</v>
      </c>
      <c r="K1595" t="s">
        <v>30</v>
      </c>
      <c r="L1595" s="2">
        <v>2545456</v>
      </c>
      <c r="M1595" s="2">
        <v>2061684</v>
      </c>
      <c r="N1595" s="2">
        <v>0</v>
      </c>
      <c r="O1595" s="2">
        <v>463063</v>
      </c>
      <c r="P1595" t="s">
        <v>24</v>
      </c>
      <c r="Q1595" t="s">
        <v>24</v>
      </c>
    </row>
    <row r="1596" spans="1:17" x14ac:dyDescent="0.25">
      <c r="A1596" t="s">
        <v>3511</v>
      </c>
      <c r="B1596" t="s">
        <v>3512</v>
      </c>
      <c r="C1596" s="1">
        <v>41275</v>
      </c>
      <c r="D1596" s="1">
        <v>41639</v>
      </c>
      <c r="E1596" t="s">
        <v>50</v>
      </c>
      <c r="G1596" t="s">
        <v>28</v>
      </c>
      <c r="H1596" t="s">
        <v>29</v>
      </c>
      <c r="I1596" t="str">
        <f>"60603"</f>
        <v>60603</v>
      </c>
      <c r="J1596" t="s">
        <v>22</v>
      </c>
      <c r="K1596" t="s">
        <v>30</v>
      </c>
      <c r="L1596" s="2">
        <v>2541214</v>
      </c>
      <c r="M1596" s="2">
        <v>721170</v>
      </c>
      <c r="N1596" s="2">
        <v>0</v>
      </c>
      <c r="O1596" s="2">
        <v>89058</v>
      </c>
      <c r="P1596" t="s">
        <v>24</v>
      </c>
      <c r="Q1596" t="s">
        <v>24</v>
      </c>
    </row>
    <row r="1597" spans="1:17" x14ac:dyDescent="0.25">
      <c r="A1597" t="s">
        <v>1976</v>
      </c>
      <c r="B1597" t="s">
        <v>1977</v>
      </c>
      <c r="C1597" s="1">
        <v>41275</v>
      </c>
      <c r="D1597" s="1">
        <v>41639</v>
      </c>
      <c r="E1597" t="s">
        <v>1978</v>
      </c>
      <c r="G1597" t="s">
        <v>854</v>
      </c>
      <c r="H1597" t="s">
        <v>29</v>
      </c>
      <c r="I1597" t="str">
        <f>"60025"</f>
        <v>60025</v>
      </c>
      <c r="J1597" t="s">
        <v>22</v>
      </c>
      <c r="K1597" t="s">
        <v>23</v>
      </c>
      <c r="L1597" s="2">
        <v>2540990</v>
      </c>
      <c r="M1597" s="2">
        <v>606095</v>
      </c>
      <c r="N1597" s="2">
        <v>0</v>
      </c>
      <c r="O1597" s="2">
        <v>250220</v>
      </c>
      <c r="P1597" t="s">
        <v>24</v>
      </c>
      <c r="Q1597" t="s">
        <v>24</v>
      </c>
    </row>
    <row r="1598" spans="1:17" x14ac:dyDescent="0.25">
      <c r="A1598" t="s">
        <v>1356</v>
      </c>
      <c r="B1598" t="s">
        <v>1357</v>
      </c>
      <c r="C1598" s="1">
        <v>41091</v>
      </c>
      <c r="D1598" s="1">
        <v>41455</v>
      </c>
      <c r="E1598" t="s">
        <v>1358</v>
      </c>
      <c r="G1598" t="s">
        <v>28</v>
      </c>
      <c r="H1598" t="s">
        <v>29</v>
      </c>
      <c r="I1598" t="str">
        <f>"60647"</f>
        <v>60647</v>
      </c>
      <c r="J1598" t="s">
        <v>63</v>
      </c>
      <c r="K1598" t="s">
        <v>79</v>
      </c>
      <c r="L1598" s="2">
        <v>2540715</v>
      </c>
      <c r="M1598" s="2">
        <v>1806560</v>
      </c>
      <c r="N1598" s="2">
        <v>10203</v>
      </c>
      <c r="O1598" s="2">
        <v>1183484</v>
      </c>
      <c r="P1598" s="2">
        <v>108808</v>
      </c>
      <c r="Q1598" s="2">
        <v>122914</v>
      </c>
    </row>
    <row r="1599" spans="1:17" x14ac:dyDescent="0.25">
      <c r="A1599" t="s">
        <v>3490</v>
      </c>
      <c r="B1599" t="s">
        <v>3491</v>
      </c>
      <c r="C1599" s="1">
        <v>41306</v>
      </c>
      <c r="D1599" s="1">
        <v>41670</v>
      </c>
      <c r="E1599" t="s">
        <v>163</v>
      </c>
      <c r="G1599" t="s">
        <v>28</v>
      </c>
      <c r="H1599" t="s">
        <v>29</v>
      </c>
      <c r="I1599" t="str">
        <f>"60603"</f>
        <v>60603</v>
      </c>
      <c r="J1599" t="s">
        <v>22</v>
      </c>
      <c r="K1599" t="s">
        <v>79</v>
      </c>
      <c r="L1599" s="2">
        <v>2536149</v>
      </c>
      <c r="M1599" s="2">
        <v>1306809</v>
      </c>
      <c r="N1599" s="2">
        <v>0</v>
      </c>
      <c r="O1599" s="2">
        <v>54032</v>
      </c>
      <c r="P1599" t="s">
        <v>24</v>
      </c>
      <c r="Q1599" t="s">
        <v>24</v>
      </c>
    </row>
    <row r="1600" spans="1:17" x14ac:dyDescent="0.25">
      <c r="A1600" t="s">
        <v>5952</v>
      </c>
      <c r="B1600" t="s">
        <v>5953</v>
      </c>
      <c r="C1600" s="1">
        <v>40909</v>
      </c>
      <c r="D1600" s="1">
        <v>41274</v>
      </c>
      <c r="E1600" t="s">
        <v>5954</v>
      </c>
      <c r="G1600" t="s">
        <v>854</v>
      </c>
      <c r="H1600" t="s">
        <v>29</v>
      </c>
      <c r="I1600" t="str">
        <f>"60025"</f>
        <v>60025</v>
      </c>
      <c r="J1600" t="s">
        <v>22</v>
      </c>
      <c r="K1600" t="s">
        <v>30</v>
      </c>
      <c r="L1600" s="2">
        <v>2535271</v>
      </c>
      <c r="M1600" s="2">
        <v>957262</v>
      </c>
      <c r="N1600" s="2">
        <v>0</v>
      </c>
      <c r="O1600" s="2">
        <v>236418</v>
      </c>
      <c r="P1600" t="s">
        <v>24</v>
      </c>
      <c r="Q1600" t="s">
        <v>24</v>
      </c>
    </row>
    <row r="1601" spans="1:17" x14ac:dyDescent="0.25">
      <c r="A1601" t="s">
        <v>4490</v>
      </c>
      <c r="B1601" t="s">
        <v>4491</v>
      </c>
      <c r="C1601" s="1">
        <v>41487</v>
      </c>
      <c r="D1601" s="1">
        <v>41851</v>
      </c>
      <c r="E1601" t="s">
        <v>4492</v>
      </c>
      <c r="G1601" t="s">
        <v>4493</v>
      </c>
      <c r="H1601" t="s">
        <v>62</v>
      </c>
      <c r="I1601" t="str">
        <f>"44115"</f>
        <v>44115</v>
      </c>
      <c r="J1601" t="s">
        <v>4494</v>
      </c>
      <c r="K1601" t="s">
        <v>23</v>
      </c>
      <c r="L1601" s="2">
        <v>2534980</v>
      </c>
      <c r="M1601" s="2">
        <v>10844</v>
      </c>
      <c r="N1601" s="2">
        <v>96274</v>
      </c>
      <c r="O1601" s="2">
        <v>218881</v>
      </c>
      <c r="P1601" s="2">
        <v>42962</v>
      </c>
      <c r="Q1601" s="2">
        <v>0</v>
      </c>
    </row>
    <row r="1602" spans="1:17" x14ac:dyDescent="0.25">
      <c r="A1602" t="s">
        <v>884</v>
      </c>
      <c r="B1602" t="s">
        <v>885</v>
      </c>
      <c r="C1602" s="1">
        <v>40544</v>
      </c>
      <c r="D1602" s="1">
        <v>40908</v>
      </c>
      <c r="E1602" t="s">
        <v>886</v>
      </c>
      <c r="G1602" t="s">
        <v>28</v>
      </c>
      <c r="H1602" t="s">
        <v>29</v>
      </c>
      <c r="I1602" t="str">
        <f>"60619"</f>
        <v>60619</v>
      </c>
      <c r="J1602" t="s">
        <v>22</v>
      </c>
      <c r="K1602" t="s">
        <v>23</v>
      </c>
      <c r="L1602" s="2">
        <v>2526176</v>
      </c>
      <c r="M1602" s="2">
        <v>3791897</v>
      </c>
      <c r="N1602" s="2">
        <v>77</v>
      </c>
      <c r="O1602" s="2">
        <v>116558</v>
      </c>
      <c r="P1602" t="s">
        <v>24</v>
      </c>
      <c r="Q1602" t="s">
        <v>24</v>
      </c>
    </row>
    <row r="1603" spans="1:17" x14ac:dyDescent="0.25">
      <c r="A1603" t="s">
        <v>2173</v>
      </c>
      <c r="B1603" t="s">
        <v>2174</v>
      </c>
      <c r="C1603" s="1">
        <v>40817</v>
      </c>
      <c r="D1603" s="1">
        <v>41182</v>
      </c>
      <c r="E1603" t="s">
        <v>2175</v>
      </c>
      <c r="G1603" t="s">
        <v>2176</v>
      </c>
      <c r="H1603" t="s">
        <v>47</v>
      </c>
      <c r="I1603" t="str">
        <f>"49837"</f>
        <v>49837</v>
      </c>
      <c r="J1603" t="s">
        <v>22</v>
      </c>
      <c r="K1603" t="s">
        <v>23</v>
      </c>
      <c r="L1603" s="2">
        <v>2525241</v>
      </c>
      <c r="M1603" s="2">
        <v>227103</v>
      </c>
      <c r="N1603" s="2">
        <v>0</v>
      </c>
      <c r="O1603" s="2">
        <v>47992</v>
      </c>
      <c r="P1603" s="2">
        <v>9992</v>
      </c>
      <c r="Q1603" s="2">
        <v>0</v>
      </c>
    </row>
    <row r="1604" spans="1:17" x14ac:dyDescent="0.25">
      <c r="A1604" t="s">
        <v>3886</v>
      </c>
      <c r="B1604" t="s">
        <v>3887</v>
      </c>
      <c r="C1604" s="1">
        <v>41275</v>
      </c>
      <c r="D1604" s="1">
        <v>41639</v>
      </c>
      <c r="E1604" t="s">
        <v>3888</v>
      </c>
      <c r="G1604" t="s">
        <v>258</v>
      </c>
      <c r="H1604" t="s">
        <v>62</v>
      </c>
      <c r="I1604" t="str">
        <f>"44512"</f>
        <v>44512</v>
      </c>
      <c r="J1604" t="s">
        <v>22</v>
      </c>
      <c r="K1604" t="s">
        <v>23</v>
      </c>
      <c r="L1604" s="2">
        <v>2519634</v>
      </c>
      <c r="M1604" s="2">
        <v>3763133</v>
      </c>
      <c r="N1604" s="2">
        <v>0</v>
      </c>
      <c r="O1604" s="2">
        <v>82473</v>
      </c>
      <c r="P1604" t="s">
        <v>24</v>
      </c>
      <c r="Q1604" t="s">
        <v>24</v>
      </c>
    </row>
    <row r="1605" spans="1:17" x14ac:dyDescent="0.25">
      <c r="A1605" t="s">
        <v>4842</v>
      </c>
      <c r="B1605" t="s">
        <v>4843</v>
      </c>
      <c r="C1605" s="1">
        <v>41275</v>
      </c>
      <c r="D1605" s="1">
        <v>41639</v>
      </c>
      <c r="E1605" t="s">
        <v>4844</v>
      </c>
      <c r="G1605" t="s">
        <v>283</v>
      </c>
      <c r="H1605" t="s">
        <v>29</v>
      </c>
      <c r="I1605" t="str">
        <f>"60175"</f>
        <v>60175</v>
      </c>
      <c r="J1605" t="s">
        <v>22</v>
      </c>
      <c r="K1605" t="s">
        <v>23</v>
      </c>
      <c r="L1605" s="2">
        <v>2518912</v>
      </c>
      <c r="M1605" s="2">
        <v>1347742</v>
      </c>
      <c r="N1605" s="2">
        <v>0</v>
      </c>
      <c r="O1605" s="2">
        <v>13952</v>
      </c>
      <c r="P1605" t="s">
        <v>24</v>
      </c>
      <c r="Q1605" t="s">
        <v>24</v>
      </c>
    </row>
    <row r="1606" spans="1:17" x14ac:dyDescent="0.25">
      <c r="A1606" t="s">
        <v>1190</v>
      </c>
      <c r="B1606" t="s">
        <v>1191</v>
      </c>
      <c r="C1606" s="1">
        <v>41275</v>
      </c>
      <c r="D1606" s="1">
        <v>41639</v>
      </c>
      <c r="E1606" t="s">
        <v>1192</v>
      </c>
      <c r="G1606" t="s">
        <v>1193</v>
      </c>
      <c r="H1606" t="s">
        <v>47</v>
      </c>
      <c r="I1606" t="str">
        <f>"49415"</f>
        <v>49415</v>
      </c>
      <c r="J1606" t="s">
        <v>22</v>
      </c>
      <c r="K1606" t="s">
        <v>23</v>
      </c>
      <c r="L1606" s="2">
        <v>2512951</v>
      </c>
      <c r="M1606" s="2">
        <v>2152833</v>
      </c>
      <c r="N1606" s="2">
        <v>0</v>
      </c>
      <c r="O1606" s="2">
        <v>1356825</v>
      </c>
      <c r="P1606" t="s">
        <v>24</v>
      </c>
      <c r="Q1606" t="s">
        <v>24</v>
      </c>
    </row>
    <row r="1607" spans="1:17" x14ac:dyDescent="0.25">
      <c r="A1607" t="s">
        <v>5781</v>
      </c>
      <c r="B1607" t="s">
        <v>5782</v>
      </c>
      <c r="C1607" s="1">
        <v>41244</v>
      </c>
      <c r="D1607" s="1">
        <v>41608</v>
      </c>
      <c r="E1607" t="s">
        <v>163</v>
      </c>
      <c r="G1607" t="s">
        <v>28</v>
      </c>
      <c r="H1607" t="s">
        <v>29</v>
      </c>
      <c r="I1607" t="str">
        <f>"60603"</f>
        <v>60603</v>
      </c>
      <c r="J1607" t="s">
        <v>22</v>
      </c>
      <c r="K1607" t="s">
        <v>23</v>
      </c>
      <c r="L1607" s="2">
        <v>2510626</v>
      </c>
      <c r="M1607" s="2">
        <v>1342950</v>
      </c>
      <c r="N1607" s="2">
        <v>0</v>
      </c>
      <c r="O1607" s="2">
        <v>127156</v>
      </c>
      <c r="P1607" t="s">
        <v>24</v>
      </c>
      <c r="Q1607" t="s">
        <v>24</v>
      </c>
    </row>
    <row r="1608" spans="1:17" x14ac:dyDescent="0.25">
      <c r="A1608" t="s">
        <v>4108</v>
      </c>
      <c r="B1608" t="s">
        <v>4109</v>
      </c>
      <c r="C1608" s="1">
        <v>41275</v>
      </c>
      <c r="D1608" s="1">
        <v>41639</v>
      </c>
      <c r="E1608" t="s">
        <v>4110</v>
      </c>
      <c r="G1608" t="s">
        <v>172</v>
      </c>
      <c r="H1608" t="s">
        <v>47</v>
      </c>
      <c r="I1608" t="str">
        <f>"49412"</f>
        <v>49412</v>
      </c>
      <c r="J1608" t="s">
        <v>752</v>
      </c>
      <c r="K1608" t="s">
        <v>753</v>
      </c>
      <c r="L1608" s="2">
        <v>2509490</v>
      </c>
      <c r="M1608" s="2">
        <v>434075</v>
      </c>
      <c r="N1608" s="2">
        <v>16194</v>
      </c>
      <c r="O1608" s="2">
        <v>479831</v>
      </c>
      <c r="P1608" t="s">
        <v>24</v>
      </c>
      <c r="Q1608" t="s">
        <v>24</v>
      </c>
    </row>
    <row r="1609" spans="1:17" x14ac:dyDescent="0.25">
      <c r="A1609" t="s">
        <v>3458</v>
      </c>
      <c r="B1609" t="s">
        <v>3459</v>
      </c>
      <c r="C1609" s="1">
        <v>41609</v>
      </c>
      <c r="D1609" s="1">
        <v>41973</v>
      </c>
      <c r="E1609" t="s">
        <v>3460</v>
      </c>
      <c r="G1609" t="s">
        <v>3260</v>
      </c>
      <c r="H1609" t="s">
        <v>62</v>
      </c>
      <c r="I1609" t="str">
        <f>"44106"</f>
        <v>44106</v>
      </c>
      <c r="J1609" t="s">
        <v>22</v>
      </c>
      <c r="K1609" t="s">
        <v>23</v>
      </c>
      <c r="L1609" s="2">
        <v>2508632</v>
      </c>
      <c r="M1609" s="2">
        <v>366821</v>
      </c>
      <c r="N1609" s="2">
        <v>0</v>
      </c>
      <c r="O1609" s="2">
        <v>315277</v>
      </c>
      <c r="P1609" t="s">
        <v>24</v>
      </c>
      <c r="Q1609" t="s">
        <v>24</v>
      </c>
    </row>
    <row r="1610" spans="1:17" x14ac:dyDescent="0.25">
      <c r="A1610" t="s">
        <v>2220</v>
      </c>
      <c r="B1610" t="s">
        <v>2221</v>
      </c>
      <c r="E1610" t="s">
        <v>2222</v>
      </c>
      <c r="G1610" t="s">
        <v>2223</v>
      </c>
      <c r="H1610" t="s">
        <v>47</v>
      </c>
      <c r="I1610" t="str">
        <f>"48331"</f>
        <v>48331</v>
      </c>
      <c r="J1610" t="s">
        <v>22</v>
      </c>
      <c r="K1610" t="s">
        <v>23</v>
      </c>
      <c r="L1610" s="2">
        <v>2505494</v>
      </c>
      <c r="M1610" s="2">
        <v>7506226</v>
      </c>
      <c r="N1610" s="2">
        <v>0</v>
      </c>
      <c r="O1610" t="s">
        <v>24</v>
      </c>
      <c r="P1610" t="s">
        <v>24</v>
      </c>
      <c r="Q1610" t="s">
        <v>24</v>
      </c>
    </row>
    <row r="1611" spans="1:17" x14ac:dyDescent="0.25">
      <c r="A1611" t="s">
        <v>456</v>
      </c>
      <c r="B1611" t="s">
        <v>457</v>
      </c>
      <c r="C1611" s="1">
        <v>41275</v>
      </c>
      <c r="D1611" s="1">
        <v>41639</v>
      </c>
      <c r="E1611" t="s">
        <v>458</v>
      </c>
      <c r="G1611" t="s">
        <v>167</v>
      </c>
      <c r="H1611" t="s">
        <v>62</v>
      </c>
      <c r="I1611" t="str">
        <f>"45202"</f>
        <v>45202</v>
      </c>
      <c r="J1611" t="s">
        <v>22</v>
      </c>
      <c r="K1611" t="s">
        <v>30</v>
      </c>
      <c r="L1611" s="2">
        <v>2505266</v>
      </c>
      <c r="M1611" s="2">
        <v>242140</v>
      </c>
      <c r="N1611" s="2">
        <v>0</v>
      </c>
      <c r="O1611" s="2">
        <v>171161</v>
      </c>
      <c r="P1611" t="s">
        <v>24</v>
      </c>
      <c r="Q1611" t="s">
        <v>24</v>
      </c>
    </row>
    <row r="1612" spans="1:17" x14ac:dyDescent="0.25">
      <c r="A1612" t="s">
        <v>2266</v>
      </c>
      <c r="B1612" t="s">
        <v>2267</v>
      </c>
      <c r="C1612" s="1">
        <v>41275</v>
      </c>
      <c r="D1612" s="1">
        <v>41639</v>
      </c>
      <c r="E1612" t="s">
        <v>2268</v>
      </c>
      <c r="G1612" t="s">
        <v>2269</v>
      </c>
      <c r="H1612" t="s">
        <v>47</v>
      </c>
      <c r="I1612" t="str">
        <f>"48430"</f>
        <v>48430</v>
      </c>
      <c r="J1612" t="s">
        <v>22</v>
      </c>
      <c r="K1612" t="s">
        <v>30</v>
      </c>
      <c r="L1612" s="2">
        <v>2504468</v>
      </c>
      <c r="M1612" s="2">
        <v>508884</v>
      </c>
      <c r="N1612" s="2">
        <v>0</v>
      </c>
      <c r="O1612" s="2">
        <v>175830</v>
      </c>
      <c r="P1612" t="s">
        <v>24</v>
      </c>
      <c r="Q1612" t="s">
        <v>24</v>
      </c>
    </row>
    <row r="1613" spans="1:17" x14ac:dyDescent="0.25">
      <c r="A1613" t="s">
        <v>3583</v>
      </c>
      <c r="B1613" t="s">
        <v>3584</v>
      </c>
      <c r="C1613" s="1">
        <v>41275</v>
      </c>
      <c r="D1613" s="1">
        <v>41639</v>
      </c>
      <c r="E1613" t="s">
        <v>3585</v>
      </c>
      <c r="G1613" t="s">
        <v>167</v>
      </c>
      <c r="H1613" t="s">
        <v>62</v>
      </c>
      <c r="I1613" t="str">
        <f>"45242"</f>
        <v>45242</v>
      </c>
      <c r="J1613" t="s">
        <v>22</v>
      </c>
      <c r="K1613" t="s">
        <v>30</v>
      </c>
      <c r="L1613" s="2">
        <v>2503170</v>
      </c>
      <c r="M1613" s="2">
        <v>186430</v>
      </c>
      <c r="N1613" s="2">
        <v>0</v>
      </c>
      <c r="O1613" s="2">
        <v>106415</v>
      </c>
      <c r="P1613" t="s">
        <v>24</v>
      </c>
      <c r="Q1613" t="s">
        <v>24</v>
      </c>
    </row>
    <row r="1614" spans="1:17" x14ac:dyDescent="0.25">
      <c r="A1614" t="s">
        <v>1070</v>
      </c>
      <c r="B1614" t="s">
        <v>1071</v>
      </c>
      <c r="C1614" s="1">
        <v>41275</v>
      </c>
      <c r="D1614" s="1">
        <v>41639</v>
      </c>
      <c r="E1614" t="s">
        <v>1072</v>
      </c>
      <c r="G1614" t="s">
        <v>612</v>
      </c>
      <c r="H1614" t="s">
        <v>42</v>
      </c>
      <c r="I1614" t="str">
        <f>"53092"</f>
        <v>53092</v>
      </c>
      <c r="J1614" t="s">
        <v>22</v>
      </c>
      <c r="K1614" t="s">
        <v>23</v>
      </c>
      <c r="L1614" s="2">
        <v>2499090</v>
      </c>
      <c r="M1614" s="2">
        <v>450758</v>
      </c>
      <c r="N1614" s="2">
        <v>0</v>
      </c>
      <c r="O1614" s="2">
        <v>89850</v>
      </c>
      <c r="P1614" t="s">
        <v>24</v>
      </c>
      <c r="Q1614" t="s">
        <v>24</v>
      </c>
    </row>
    <row r="1615" spans="1:17" x14ac:dyDescent="0.25">
      <c r="A1615" t="s">
        <v>4221</v>
      </c>
      <c r="B1615" t="s">
        <v>4222</v>
      </c>
      <c r="C1615" s="1">
        <v>41275</v>
      </c>
      <c r="D1615" s="1">
        <v>41639</v>
      </c>
      <c r="E1615" t="s">
        <v>4223</v>
      </c>
      <c r="G1615" t="s">
        <v>1730</v>
      </c>
      <c r="H1615" t="s">
        <v>29</v>
      </c>
      <c r="I1615" t="str">
        <f>"61265"</f>
        <v>61265</v>
      </c>
      <c r="J1615" t="s">
        <v>22</v>
      </c>
      <c r="K1615" t="s">
        <v>23</v>
      </c>
      <c r="L1615" s="2">
        <v>2496766</v>
      </c>
      <c r="M1615" s="2">
        <v>1562462</v>
      </c>
      <c r="N1615" s="2">
        <v>0</v>
      </c>
      <c r="O1615" s="2">
        <v>163234</v>
      </c>
      <c r="P1615" t="s">
        <v>24</v>
      </c>
      <c r="Q1615" t="s">
        <v>24</v>
      </c>
    </row>
    <row r="1616" spans="1:17" x14ac:dyDescent="0.25">
      <c r="A1616" t="s">
        <v>4233</v>
      </c>
      <c r="B1616" t="s">
        <v>4234</v>
      </c>
      <c r="C1616" s="1">
        <v>41183</v>
      </c>
      <c r="D1616" s="1">
        <v>41547</v>
      </c>
      <c r="E1616" t="s">
        <v>40</v>
      </c>
      <c r="G1616" t="s">
        <v>41</v>
      </c>
      <c r="H1616" t="s">
        <v>42</v>
      </c>
      <c r="I1616" t="str">
        <f>"53201"</f>
        <v>53201</v>
      </c>
      <c r="J1616" t="s">
        <v>22</v>
      </c>
      <c r="K1616" t="s">
        <v>23</v>
      </c>
      <c r="L1616" s="2">
        <v>2493154</v>
      </c>
      <c r="M1616" s="2">
        <v>1622846</v>
      </c>
      <c r="N1616" s="2">
        <v>0</v>
      </c>
      <c r="O1616" s="2">
        <v>156918</v>
      </c>
      <c r="P1616" t="s">
        <v>24</v>
      </c>
      <c r="Q1616" t="s">
        <v>24</v>
      </c>
    </row>
    <row r="1617" spans="1:17" x14ac:dyDescent="0.25">
      <c r="A1617" t="s">
        <v>3102</v>
      </c>
      <c r="B1617" t="s">
        <v>3103</v>
      </c>
      <c r="C1617" s="1">
        <v>41275</v>
      </c>
      <c r="D1617" s="1">
        <v>41639</v>
      </c>
      <c r="E1617" t="s">
        <v>3104</v>
      </c>
      <c r="G1617" t="s">
        <v>3105</v>
      </c>
      <c r="H1617" t="s">
        <v>42</v>
      </c>
      <c r="I1617" t="str">
        <f>"53190"</f>
        <v>53190</v>
      </c>
      <c r="J1617" t="s">
        <v>63</v>
      </c>
      <c r="K1617" t="s">
        <v>30</v>
      </c>
      <c r="L1617" s="2">
        <v>2490306</v>
      </c>
      <c r="M1617" s="2">
        <v>144297</v>
      </c>
      <c r="N1617" s="2">
        <v>0</v>
      </c>
      <c r="O1617" s="2">
        <v>17624</v>
      </c>
      <c r="P1617" s="2">
        <v>5050</v>
      </c>
      <c r="Q1617" s="2">
        <v>0</v>
      </c>
    </row>
    <row r="1618" spans="1:17" x14ac:dyDescent="0.25">
      <c r="A1618" t="s">
        <v>6525</v>
      </c>
      <c r="B1618" t="s">
        <v>6526</v>
      </c>
      <c r="C1618" s="1">
        <v>41275</v>
      </c>
      <c r="D1618" s="1">
        <v>41639</v>
      </c>
      <c r="E1618" t="s">
        <v>6527</v>
      </c>
      <c r="G1618" t="s">
        <v>337</v>
      </c>
      <c r="H1618" t="s">
        <v>62</v>
      </c>
      <c r="I1618" t="str">
        <f>"44121"</f>
        <v>44121</v>
      </c>
      <c r="J1618" t="s">
        <v>22</v>
      </c>
      <c r="K1618" t="s">
        <v>23</v>
      </c>
      <c r="L1618" s="2">
        <v>2488307</v>
      </c>
      <c r="M1618" s="2">
        <v>1259149</v>
      </c>
      <c r="N1618" s="2">
        <v>0</v>
      </c>
      <c r="O1618" s="2">
        <v>151369</v>
      </c>
      <c r="P1618" t="s">
        <v>24</v>
      </c>
      <c r="Q1618" t="s">
        <v>24</v>
      </c>
    </row>
    <row r="1619" spans="1:17" x14ac:dyDescent="0.25">
      <c r="A1619" t="s">
        <v>2649</v>
      </c>
      <c r="B1619" t="s">
        <v>2650</v>
      </c>
      <c r="C1619" s="1">
        <v>41275</v>
      </c>
      <c r="D1619" s="1">
        <v>41639</v>
      </c>
      <c r="E1619" t="s">
        <v>2651</v>
      </c>
      <c r="G1619" t="s">
        <v>2652</v>
      </c>
      <c r="H1619" t="s">
        <v>47</v>
      </c>
      <c r="I1619" t="str">
        <f>"49058"</f>
        <v>49058</v>
      </c>
      <c r="J1619" t="s">
        <v>22</v>
      </c>
      <c r="K1619" t="s">
        <v>91</v>
      </c>
      <c r="L1619" s="2">
        <v>2487760</v>
      </c>
      <c r="M1619" s="2">
        <v>3457253</v>
      </c>
      <c r="N1619" s="2">
        <v>698</v>
      </c>
      <c r="O1619" s="2">
        <v>127635</v>
      </c>
      <c r="P1619" t="s">
        <v>24</v>
      </c>
      <c r="Q1619" t="s">
        <v>24</v>
      </c>
    </row>
    <row r="1620" spans="1:17" x14ac:dyDescent="0.25">
      <c r="A1620" t="s">
        <v>7315</v>
      </c>
      <c r="B1620" t="s">
        <v>7316</v>
      </c>
      <c r="C1620" s="1">
        <v>41275</v>
      </c>
      <c r="D1620" s="1">
        <v>41639</v>
      </c>
      <c r="E1620" t="s">
        <v>163</v>
      </c>
      <c r="G1620" t="s">
        <v>28</v>
      </c>
      <c r="H1620" t="s">
        <v>29</v>
      </c>
      <c r="I1620" t="str">
        <f>"60603"</f>
        <v>60603</v>
      </c>
      <c r="J1620" t="s">
        <v>22</v>
      </c>
      <c r="K1620" t="s">
        <v>23</v>
      </c>
      <c r="L1620" s="2">
        <v>2486812</v>
      </c>
      <c r="M1620" s="2">
        <v>2300654</v>
      </c>
      <c r="N1620" s="2">
        <v>0</v>
      </c>
      <c r="O1620" s="2">
        <v>109926</v>
      </c>
      <c r="P1620" t="s">
        <v>24</v>
      </c>
      <c r="Q1620" t="s">
        <v>24</v>
      </c>
    </row>
    <row r="1621" spans="1:17" x14ac:dyDescent="0.25">
      <c r="A1621" t="s">
        <v>2257</v>
      </c>
      <c r="B1621" t="s">
        <v>2258</v>
      </c>
      <c r="C1621" s="1">
        <v>41122</v>
      </c>
      <c r="D1621" s="1">
        <v>41486</v>
      </c>
      <c r="E1621" t="s">
        <v>163</v>
      </c>
      <c r="G1621" t="s">
        <v>28</v>
      </c>
      <c r="H1621" t="s">
        <v>29</v>
      </c>
      <c r="I1621" t="str">
        <f>"60603"</f>
        <v>60603</v>
      </c>
      <c r="J1621" t="s">
        <v>63</v>
      </c>
      <c r="K1621" t="s">
        <v>30</v>
      </c>
      <c r="L1621" s="2">
        <v>2484030</v>
      </c>
      <c r="M1621" s="2">
        <v>167325</v>
      </c>
      <c r="N1621" s="2">
        <v>0</v>
      </c>
      <c r="O1621" s="2">
        <v>104507</v>
      </c>
      <c r="P1621" s="2">
        <v>38407</v>
      </c>
      <c r="Q1621" t="s">
        <v>24</v>
      </c>
    </row>
    <row r="1622" spans="1:17" x14ac:dyDescent="0.25">
      <c r="A1622" t="s">
        <v>6687</v>
      </c>
      <c r="B1622" t="s">
        <v>6688</v>
      </c>
      <c r="C1622" s="1">
        <v>41518</v>
      </c>
      <c r="D1622" s="1">
        <v>41882</v>
      </c>
      <c r="E1622" t="s">
        <v>104</v>
      </c>
      <c r="G1622" t="s">
        <v>28</v>
      </c>
      <c r="H1622" t="s">
        <v>29</v>
      </c>
      <c r="I1622" t="str">
        <f>"60680"</f>
        <v>60680</v>
      </c>
      <c r="J1622" t="s">
        <v>22</v>
      </c>
      <c r="K1622" t="s">
        <v>91</v>
      </c>
      <c r="L1622" s="2">
        <v>2480733</v>
      </c>
      <c r="M1622" s="2">
        <v>1430281</v>
      </c>
      <c r="N1622" s="2">
        <v>0</v>
      </c>
      <c r="O1622" s="2">
        <v>228897</v>
      </c>
      <c r="P1622" t="s">
        <v>24</v>
      </c>
      <c r="Q1622" t="s">
        <v>24</v>
      </c>
    </row>
    <row r="1623" spans="1:17" x14ac:dyDescent="0.25">
      <c r="A1623" t="s">
        <v>3349</v>
      </c>
      <c r="B1623" t="s">
        <v>3350</v>
      </c>
      <c r="C1623" s="1">
        <v>41275</v>
      </c>
      <c r="D1623" s="1">
        <v>41639</v>
      </c>
      <c r="E1623" t="s">
        <v>3351</v>
      </c>
      <c r="G1623" t="s">
        <v>324</v>
      </c>
      <c r="H1623" t="s">
        <v>62</v>
      </c>
      <c r="I1623" t="str">
        <f>"44857"</f>
        <v>44857</v>
      </c>
      <c r="J1623" t="s">
        <v>22</v>
      </c>
      <c r="K1623" t="s">
        <v>91</v>
      </c>
      <c r="L1623" s="2">
        <v>2479496</v>
      </c>
      <c r="M1623" s="2">
        <v>762372</v>
      </c>
      <c r="N1623" s="2">
        <v>0</v>
      </c>
      <c r="O1623" s="2">
        <v>166559</v>
      </c>
      <c r="P1623" t="s">
        <v>24</v>
      </c>
      <c r="Q1623" t="s">
        <v>24</v>
      </c>
    </row>
    <row r="1624" spans="1:17" x14ac:dyDescent="0.25">
      <c r="A1624" t="s">
        <v>1626</v>
      </c>
      <c r="B1624" t="s">
        <v>1627</v>
      </c>
      <c r="C1624" s="1">
        <v>41275</v>
      </c>
      <c r="D1624" s="1">
        <v>41639</v>
      </c>
      <c r="E1624" t="s">
        <v>1628</v>
      </c>
      <c r="G1624" t="s">
        <v>28</v>
      </c>
      <c r="H1624" t="s">
        <v>29</v>
      </c>
      <c r="I1624" t="str">
        <f>"60606"</f>
        <v>60606</v>
      </c>
      <c r="J1624" t="s">
        <v>22</v>
      </c>
      <c r="K1624" t="s">
        <v>23</v>
      </c>
      <c r="L1624" s="2">
        <v>2476460</v>
      </c>
      <c r="M1624" s="2">
        <v>320668</v>
      </c>
      <c r="N1624" s="2">
        <v>0</v>
      </c>
      <c r="O1624" s="2">
        <v>82955</v>
      </c>
      <c r="P1624" t="s">
        <v>24</v>
      </c>
      <c r="Q1624" t="s">
        <v>24</v>
      </c>
    </row>
    <row r="1625" spans="1:17" x14ac:dyDescent="0.25">
      <c r="A1625" t="s">
        <v>4158</v>
      </c>
      <c r="B1625" t="s">
        <v>4159</v>
      </c>
      <c r="C1625" s="1">
        <v>41275</v>
      </c>
      <c r="D1625" s="1">
        <v>41639</v>
      </c>
      <c r="E1625" t="s">
        <v>4160</v>
      </c>
      <c r="G1625" t="s">
        <v>4161</v>
      </c>
      <c r="H1625" t="s">
        <v>47</v>
      </c>
      <c r="I1625" t="str">
        <f>"49316"</f>
        <v>49316</v>
      </c>
      <c r="J1625" t="s">
        <v>22</v>
      </c>
      <c r="K1625" t="s">
        <v>23</v>
      </c>
      <c r="L1625" s="2">
        <v>2475844</v>
      </c>
      <c r="M1625" s="2">
        <v>363386</v>
      </c>
      <c r="N1625" s="2">
        <v>0</v>
      </c>
      <c r="O1625" s="2">
        <v>119994</v>
      </c>
      <c r="P1625" t="s">
        <v>24</v>
      </c>
      <c r="Q1625" t="s">
        <v>24</v>
      </c>
    </row>
    <row r="1626" spans="1:17" x14ac:dyDescent="0.25">
      <c r="A1626" t="s">
        <v>746</v>
      </c>
      <c r="B1626" t="s">
        <v>747</v>
      </c>
      <c r="C1626" s="1">
        <v>41275</v>
      </c>
      <c r="D1626" s="1">
        <v>41639</v>
      </c>
      <c r="E1626" t="s">
        <v>40</v>
      </c>
      <c r="G1626" t="s">
        <v>41</v>
      </c>
      <c r="H1626" t="s">
        <v>42</v>
      </c>
      <c r="I1626" t="str">
        <f>"53201"</f>
        <v>53201</v>
      </c>
      <c r="J1626" t="s">
        <v>22</v>
      </c>
      <c r="K1626" t="s">
        <v>30</v>
      </c>
      <c r="L1626" s="2">
        <v>2472292</v>
      </c>
      <c r="M1626" s="2">
        <v>383127</v>
      </c>
      <c r="N1626" s="2">
        <v>0</v>
      </c>
      <c r="O1626" s="2">
        <v>100886</v>
      </c>
      <c r="P1626" t="s">
        <v>24</v>
      </c>
      <c r="Q1626" t="s">
        <v>24</v>
      </c>
    </row>
    <row r="1627" spans="1:17" x14ac:dyDescent="0.25">
      <c r="A1627" t="s">
        <v>4722</v>
      </c>
      <c r="B1627" t="s">
        <v>4723</v>
      </c>
      <c r="C1627" s="1">
        <v>41456</v>
      </c>
      <c r="D1627" s="1">
        <v>41820</v>
      </c>
      <c r="E1627" t="s">
        <v>4724</v>
      </c>
      <c r="G1627" t="s">
        <v>1575</v>
      </c>
      <c r="H1627" t="s">
        <v>42</v>
      </c>
      <c r="I1627" t="str">
        <f>"54913"</f>
        <v>54913</v>
      </c>
      <c r="J1627" t="s">
        <v>22</v>
      </c>
      <c r="K1627" t="s">
        <v>23</v>
      </c>
      <c r="L1627" s="2">
        <v>2470295</v>
      </c>
      <c r="M1627" s="2">
        <v>1894941</v>
      </c>
      <c r="N1627" s="2">
        <v>0</v>
      </c>
      <c r="O1627" s="2">
        <v>317930</v>
      </c>
      <c r="P1627" t="s">
        <v>24</v>
      </c>
      <c r="Q1627" t="s">
        <v>24</v>
      </c>
    </row>
    <row r="1628" spans="1:17" x14ac:dyDescent="0.25">
      <c r="A1628" t="s">
        <v>134</v>
      </c>
      <c r="B1628" t="s">
        <v>135</v>
      </c>
      <c r="C1628" s="1">
        <v>41579</v>
      </c>
      <c r="D1628" s="1">
        <v>41943</v>
      </c>
      <c r="E1628" t="s">
        <v>104</v>
      </c>
      <c r="G1628" t="s">
        <v>28</v>
      </c>
      <c r="H1628" t="s">
        <v>29</v>
      </c>
      <c r="I1628" t="str">
        <f>"60680"</f>
        <v>60680</v>
      </c>
      <c r="J1628" t="s">
        <v>22</v>
      </c>
      <c r="K1628" t="s">
        <v>30</v>
      </c>
      <c r="L1628" s="2">
        <v>2469831</v>
      </c>
      <c r="M1628" s="2">
        <v>920624</v>
      </c>
      <c r="N1628" s="2">
        <v>0</v>
      </c>
      <c r="O1628" s="2">
        <v>237794</v>
      </c>
      <c r="P1628" t="s">
        <v>24</v>
      </c>
      <c r="Q1628" t="s">
        <v>24</v>
      </c>
    </row>
    <row r="1629" spans="1:17" x14ac:dyDescent="0.25">
      <c r="A1629" t="s">
        <v>2859</v>
      </c>
      <c r="B1629" t="s">
        <v>2860</v>
      </c>
      <c r="C1629" s="1">
        <v>41426</v>
      </c>
      <c r="D1629" s="1">
        <v>41790</v>
      </c>
      <c r="E1629" t="s">
        <v>678</v>
      </c>
      <c r="G1629" t="s">
        <v>28</v>
      </c>
      <c r="H1629" t="s">
        <v>29</v>
      </c>
      <c r="I1629" t="str">
        <f>"60603"</f>
        <v>60603</v>
      </c>
      <c r="J1629" t="s">
        <v>22</v>
      </c>
      <c r="K1629" t="s">
        <v>79</v>
      </c>
      <c r="L1629" s="2">
        <v>2467157</v>
      </c>
      <c r="M1629" s="2">
        <v>844535</v>
      </c>
      <c r="N1629" s="2">
        <v>0</v>
      </c>
      <c r="O1629" s="2">
        <v>127179</v>
      </c>
      <c r="P1629" t="s">
        <v>24</v>
      </c>
      <c r="Q1629" t="s">
        <v>24</v>
      </c>
    </row>
    <row r="1630" spans="1:17" x14ac:dyDescent="0.25">
      <c r="A1630" t="s">
        <v>1460</v>
      </c>
      <c r="B1630" t="s">
        <v>1461</v>
      </c>
      <c r="E1630" t="s">
        <v>1462</v>
      </c>
      <c r="G1630" t="s">
        <v>1463</v>
      </c>
      <c r="H1630" t="s">
        <v>21</v>
      </c>
      <c r="I1630" t="str">
        <f>"46962"</f>
        <v>46962</v>
      </c>
      <c r="J1630" t="s">
        <v>22</v>
      </c>
      <c r="K1630" t="s">
        <v>30</v>
      </c>
      <c r="L1630" s="2">
        <v>2464398</v>
      </c>
      <c r="M1630" s="2">
        <v>717221</v>
      </c>
      <c r="N1630" s="2">
        <v>0</v>
      </c>
      <c r="O1630" t="s">
        <v>24</v>
      </c>
      <c r="P1630" t="s">
        <v>24</v>
      </c>
      <c r="Q1630" t="s">
        <v>24</v>
      </c>
    </row>
    <row r="1631" spans="1:17" x14ac:dyDescent="0.25">
      <c r="A1631" t="s">
        <v>3023</v>
      </c>
      <c r="B1631" t="s">
        <v>3024</v>
      </c>
      <c r="C1631" s="1">
        <v>41275</v>
      </c>
      <c r="D1631" s="1">
        <v>41639</v>
      </c>
      <c r="E1631" t="s">
        <v>3025</v>
      </c>
      <c r="G1631" t="s">
        <v>28</v>
      </c>
      <c r="H1631" t="s">
        <v>29</v>
      </c>
      <c r="I1631" t="str">
        <f>"60616"</f>
        <v>60616</v>
      </c>
      <c r="J1631" t="s">
        <v>22</v>
      </c>
      <c r="K1631" t="s">
        <v>30</v>
      </c>
      <c r="L1631" s="2">
        <v>2462493</v>
      </c>
      <c r="M1631" s="2">
        <v>398718</v>
      </c>
      <c r="N1631" s="2">
        <v>0</v>
      </c>
      <c r="O1631" s="2">
        <v>162348</v>
      </c>
      <c r="P1631" t="s">
        <v>24</v>
      </c>
      <c r="Q1631" t="s">
        <v>24</v>
      </c>
    </row>
    <row r="1632" spans="1:17" x14ac:dyDescent="0.25">
      <c r="A1632" t="s">
        <v>874</v>
      </c>
      <c r="B1632" t="s">
        <v>875</v>
      </c>
      <c r="C1632" s="1">
        <v>41275</v>
      </c>
      <c r="D1632" s="1">
        <v>41639</v>
      </c>
      <c r="E1632" t="s">
        <v>876</v>
      </c>
      <c r="G1632" t="s">
        <v>28</v>
      </c>
      <c r="H1632" t="s">
        <v>29</v>
      </c>
      <c r="I1632" t="str">
        <f>"60603"</f>
        <v>60603</v>
      </c>
      <c r="J1632" t="s">
        <v>22</v>
      </c>
      <c r="K1632" t="s">
        <v>23</v>
      </c>
      <c r="L1632" s="2">
        <v>2455733</v>
      </c>
      <c r="M1632" s="2">
        <v>862429</v>
      </c>
      <c r="N1632" s="2">
        <v>0</v>
      </c>
      <c r="O1632" s="2">
        <v>172677</v>
      </c>
      <c r="P1632" t="s">
        <v>24</v>
      </c>
      <c r="Q1632" t="s">
        <v>24</v>
      </c>
    </row>
    <row r="1633" spans="1:17" x14ac:dyDescent="0.25">
      <c r="A1633" t="s">
        <v>3200</v>
      </c>
      <c r="B1633" t="s">
        <v>3201</v>
      </c>
      <c r="C1633" s="1">
        <v>41275</v>
      </c>
      <c r="D1633" s="1">
        <v>41639</v>
      </c>
      <c r="E1633" t="s">
        <v>3202</v>
      </c>
      <c r="G1633" t="s">
        <v>337</v>
      </c>
      <c r="H1633" t="s">
        <v>62</v>
      </c>
      <c r="I1633" t="str">
        <f>"44115"</f>
        <v>44115</v>
      </c>
      <c r="J1633" t="s">
        <v>22</v>
      </c>
      <c r="K1633" t="s">
        <v>30</v>
      </c>
      <c r="L1633" s="2">
        <v>2451655</v>
      </c>
      <c r="M1633" s="2">
        <v>858965</v>
      </c>
      <c r="N1633" s="2">
        <v>0</v>
      </c>
      <c r="O1633" s="2">
        <v>389172</v>
      </c>
      <c r="P1633" t="s">
        <v>24</v>
      </c>
      <c r="Q1633" t="s">
        <v>24</v>
      </c>
    </row>
    <row r="1634" spans="1:17" x14ac:dyDescent="0.25">
      <c r="A1634" t="s">
        <v>2381</v>
      </c>
      <c r="B1634" t="s">
        <v>2382</v>
      </c>
      <c r="C1634" s="1">
        <v>41275</v>
      </c>
      <c r="D1634" s="1">
        <v>41639</v>
      </c>
      <c r="E1634" t="s">
        <v>50</v>
      </c>
      <c r="G1634" t="s">
        <v>28</v>
      </c>
      <c r="H1634" t="s">
        <v>29</v>
      </c>
      <c r="I1634" t="str">
        <f>"60603"</f>
        <v>60603</v>
      </c>
      <c r="J1634" t="s">
        <v>22</v>
      </c>
      <c r="K1634" t="s">
        <v>30</v>
      </c>
      <c r="L1634" s="2">
        <v>2446710</v>
      </c>
      <c r="M1634" s="2">
        <v>997430</v>
      </c>
      <c r="N1634" s="2">
        <v>0</v>
      </c>
      <c r="O1634" s="2">
        <v>102662</v>
      </c>
      <c r="P1634" t="s">
        <v>24</v>
      </c>
      <c r="Q1634" t="s">
        <v>24</v>
      </c>
    </row>
    <row r="1635" spans="1:17" x14ac:dyDescent="0.25">
      <c r="A1635" t="s">
        <v>2889</v>
      </c>
      <c r="B1635" t="s">
        <v>2890</v>
      </c>
      <c r="C1635" s="1">
        <v>40909</v>
      </c>
      <c r="D1635" s="1">
        <v>41274</v>
      </c>
      <c r="E1635" t="s">
        <v>2891</v>
      </c>
      <c r="G1635" t="s">
        <v>2892</v>
      </c>
      <c r="H1635" t="s">
        <v>78</v>
      </c>
      <c r="I1635" t="str">
        <f>"40067"</f>
        <v>40067</v>
      </c>
      <c r="J1635" t="s">
        <v>22</v>
      </c>
      <c r="K1635" t="s">
        <v>30</v>
      </c>
      <c r="L1635" s="2">
        <v>2438667</v>
      </c>
      <c r="M1635" s="2">
        <v>3618079</v>
      </c>
      <c r="N1635" s="2">
        <v>0</v>
      </c>
      <c r="O1635" s="2">
        <v>180274</v>
      </c>
      <c r="P1635" t="s">
        <v>24</v>
      </c>
      <c r="Q1635" t="s">
        <v>24</v>
      </c>
    </row>
    <row r="1636" spans="1:17" x14ac:dyDescent="0.25">
      <c r="A1636" t="s">
        <v>5936</v>
      </c>
      <c r="B1636" t="s">
        <v>5937</v>
      </c>
      <c r="C1636" s="1">
        <v>41275</v>
      </c>
      <c r="D1636" s="1">
        <v>41639</v>
      </c>
      <c r="E1636" t="s">
        <v>5938</v>
      </c>
      <c r="G1636" t="s">
        <v>357</v>
      </c>
      <c r="H1636" t="s">
        <v>21</v>
      </c>
      <c r="I1636" t="str">
        <f>"46804"</f>
        <v>46804</v>
      </c>
      <c r="J1636" t="s">
        <v>22</v>
      </c>
      <c r="K1636" t="s">
        <v>23</v>
      </c>
      <c r="L1636" s="2">
        <v>2434266</v>
      </c>
      <c r="M1636" s="2">
        <v>739976</v>
      </c>
      <c r="N1636" s="2">
        <v>0</v>
      </c>
      <c r="O1636" s="2">
        <v>109723</v>
      </c>
      <c r="P1636" t="s">
        <v>24</v>
      </c>
      <c r="Q1636" t="s">
        <v>24</v>
      </c>
    </row>
    <row r="1637" spans="1:17" x14ac:dyDescent="0.25">
      <c r="A1637" t="s">
        <v>2956</v>
      </c>
      <c r="B1637" t="s">
        <v>2957</v>
      </c>
      <c r="C1637" s="1">
        <v>41275</v>
      </c>
      <c r="D1637" s="1">
        <v>41639</v>
      </c>
      <c r="E1637" t="s">
        <v>2958</v>
      </c>
      <c r="G1637" t="s">
        <v>2959</v>
      </c>
      <c r="H1637" t="s">
        <v>62</v>
      </c>
      <c r="I1637" t="str">
        <f>"44107"</f>
        <v>44107</v>
      </c>
      <c r="J1637" t="s">
        <v>22</v>
      </c>
      <c r="K1637" t="s">
        <v>30</v>
      </c>
      <c r="L1637" s="2">
        <v>2429345</v>
      </c>
      <c r="M1637" s="2">
        <v>592157</v>
      </c>
      <c r="N1637" s="2">
        <v>0</v>
      </c>
      <c r="O1637" s="2">
        <v>104649</v>
      </c>
      <c r="P1637" t="s">
        <v>24</v>
      </c>
      <c r="Q1637" t="s">
        <v>24</v>
      </c>
    </row>
    <row r="1638" spans="1:17" x14ac:dyDescent="0.25">
      <c r="A1638" t="s">
        <v>2640</v>
      </c>
      <c r="B1638" t="s">
        <v>2641</v>
      </c>
      <c r="C1638" s="1">
        <v>41275</v>
      </c>
      <c r="D1638" s="1">
        <v>41639</v>
      </c>
      <c r="E1638" t="s">
        <v>2642</v>
      </c>
      <c r="G1638" t="s">
        <v>612</v>
      </c>
      <c r="H1638" t="s">
        <v>42</v>
      </c>
      <c r="I1638" t="str">
        <f>"53092"</f>
        <v>53092</v>
      </c>
      <c r="J1638" t="s">
        <v>22</v>
      </c>
      <c r="K1638" t="s">
        <v>23</v>
      </c>
      <c r="L1638" s="2">
        <v>2424253</v>
      </c>
      <c r="M1638" s="2">
        <v>292727</v>
      </c>
      <c r="N1638" s="2">
        <v>0</v>
      </c>
      <c r="O1638" s="2">
        <v>131193</v>
      </c>
      <c r="P1638" t="s">
        <v>24</v>
      </c>
      <c r="Q1638" t="s">
        <v>24</v>
      </c>
    </row>
    <row r="1639" spans="1:17" x14ac:dyDescent="0.25">
      <c r="A1639" t="s">
        <v>5078</v>
      </c>
      <c r="B1639" t="s">
        <v>5079</v>
      </c>
      <c r="C1639" s="1">
        <v>41275</v>
      </c>
      <c r="D1639" s="1">
        <v>41639</v>
      </c>
      <c r="E1639" t="s">
        <v>5080</v>
      </c>
      <c r="G1639" t="s">
        <v>5081</v>
      </c>
      <c r="H1639" t="s">
        <v>62</v>
      </c>
      <c r="I1639" t="str">
        <f>"44022"</f>
        <v>44022</v>
      </c>
      <c r="J1639" t="s">
        <v>22</v>
      </c>
      <c r="K1639" t="s">
        <v>91</v>
      </c>
      <c r="L1639" s="2">
        <v>2423787</v>
      </c>
      <c r="M1639" s="2">
        <v>1076859</v>
      </c>
      <c r="N1639" s="2">
        <v>0</v>
      </c>
      <c r="O1639" s="2">
        <v>79547</v>
      </c>
      <c r="P1639" t="s">
        <v>24</v>
      </c>
      <c r="Q1639" t="s">
        <v>24</v>
      </c>
    </row>
    <row r="1640" spans="1:17" x14ac:dyDescent="0.25">
      <c r="A1640" t="s">
        <v>7185</v>
      </c>
      <c r="B1640" t="s">
        <v>7186</v>
      </c>
      <c r="C1640" s="1">
        <v>41275</v>
      </c>
      <c r="D1640" s="1">
        <v>41639</v>
      </c>
      <c r="E1640" t="s">
        <v>7187</v>
      </c>
      <c r="G1640" t="s">
        <v>371</v>
      </c>
      <c r="H1640" t="s">
        <v>29</v>
      </c>
      <c r="I1640" t="str">
        <f>"60062"</f>
        <v>60062</v>
      </c>
      <c r="J1640" t="s">
        <v>22</v>
      </c>
      <c r="K1640" t="s">
        <v>23</v>
      </c>
      <c r="L1640" s="2">
        <v>2421627</v>
      </c>
      <c r="M1640" s="2">
        <v>1281739</v>
      </c>
      <c r="N1640" s="2">
        <v>0</v>
      </c>
      <c r="O1640" s="2">
        <v>204904</v>
      </c>
      <c r="P1640" t="s">
        <v>24</v>
      </c>
      <c r="Q1640" t="s">
        <v>24</v>
      </c>
    </row>
    <row r="1641" spans="1:17" x14ac:dyDescent="0.25">
      <c r="A1641" t="s">
        <v>5390</v>
      </c>
      <c r="B1641" t="s">
        <v>5391</v>
      </c>
      <c r="C1641" s="1">
        <v>41456</v>
      </c>
      <c r="D1641" s="1">
        <v>41820</v>
      </c>
      <c r="E1641" t="s">
        <v>5392</v>
      </c>
      <c r="G1641" t="s">
        <v>5393</v>
      </c>
      <c r="H1641" t="s">
        <v>62</v>
      </c>
      <c r="I1641" t="str">
        <f>"43517"</f>
        <v>43517</v>
      </c>
      <c r="J1641" t="s">
        <v>63</v>
      </c>
      <c r="K1641" t="s">
        <v>64</v>
      </c>
      <c r="L1641" s="2">
        <v>2418372</v>
      </c>
      <c r="M1641" s="2">
        <v>57364</v>
      </c>
      <c r="N1641" s="2">
        <v>0</v>
      </c>
      <c r="O1641" s="2">
        <v>43513</v>
      </c>
      <c r="P1641" s="2">
        <v>1761</v>
      </c>
      <c r="Q1641" s="2">
        <v>0</v>
      </c>
    </row>
    <row r="1642" spans="1:17" x14ac:dyDescent="0.25">
      <c r="A1642" t="s">
        <v>3503</v>
      </c>
      <c r="B1642" t="s">
        <v>3504</v>
      </c>
      <c r="C1642" s="1">
        <v>41275</v>
      </c>
      <c r="D1642" s="1">
        <v>41639</v>
      </c>
      <c r="E1642" t="s">
        <v>3505</v>
      </c>
      <c r="G1642" t="s">
        <v>391</v>
      </c>
      <c r="H1642" t="s">
        <v>42</v>
      </c>
      <c r="I1642" t="str">
        <f>"54956"</f>
        <v>54956</v>
      </c>
      <c r="J1642" t="s">
        <v>22</v>
      </c>
      <c r="K1642" t="s">
        <v>23</v>
      </c>
      <c r="L1642" s="2">
        <v>2417902</v>
      </c>
      <c r="M1642" s="2">
        <v>773942</v>
      </c>
      <c r="N1642" s="2">
        <v>0</v>
      </c>
      <c r="O1642" s="2">
        <v>99414</v>
      </c>
      <c r="P1642" t="s">
        <v>24</v>
      </c>
      <c r="Q1642" t="s">
        <v>24</v>
      </c>
    </row>
    <row r="1643" spans="1:17" x14ac:dyDescent="0.25">
      <c r="A1643" t="s">
        <v>4826</v>
      </c>
      <c r="B1643" t="s">
        <v>4827</v>
      </c>
      <c r="C1643" s="1">
        <v>41214</v>
      </c>
      <c r="D1643" s="1">
        <v>41578</v>
      </c>
      <c r="E1643" t="s">
        <v>2932</v>
      </c>
      <c r="G1643" t="s">
        <v>1111</v>
      </c>
      <c r="H1643" t="s">
        <v>47</v>
      </c>
      <c r="I1643" t="str">
        <f>"48304"</f>
        <v>48304</v>
      </c>
      <c r="J1643" t="s">
        <v>22</v>
      </c>
      <c r="K1643" t="s">
        <v>23</v>
      </c>
      <c r="L1643" s="2">
        <v>2413971</v>
      </c>
      <c r="M1643" s="2">
        <v>476979</v>
      </c>
      <c r="N1643" s="2">
        <v>0</v>
      </c>
      <c r="O1643" s="2">
        <v>174654</v>
      </c>
      <c r="P1643" t="s">
        <v>24</v>
      </c>
      <c r="Q1643" t="s">
        <v>24</v>
      </c>
    </row>
    <row r="1644" spans="1:17" x14ac:dyDescent="0.25">
      <c r="A1644" t="s">
        <v>769</v>
      </c>
      <c r="B1644" t="s">
        <v>770</v>
      </c>
      <c r="C1644" s="1">
        <v>41275</v>
      </c>
      <c r="D1644" s="1">
        <v>41639</v>
      </c>
      <c r="E1644" t="s">
        <v>771</v>
      </c>
      <c r="G1644" t="s">
        <v>772</v>
      </c>
      <c r="H1644" t="s">
        <v>62</v>
      </c>
      <c r="I1644" t="str">
        <f>"44122"</f>
        <v>44122</v>
      </c>
      <c r="J1644" t="s">
        <v>22</v>
      </c>
      <c r="K1644" t="s">
        <v>30</v>
      </c>
      <c r="L1644" s="2">
        <v>2413625</v>
      </c>
      <c r="M1644" s="2">
        <v>370024</v>
      </c>
      <c r="N1644" s="2">
        <v>0</v>
      </c>
      <c r="O1644" s="2">
        <v>11834</v>
      </c>
      <c r="P1644" t="s">
        <v>24</v>
      </c>
      <c r="Q1644" t="s">
        <v>24</v>
      </c>
    </row>
    <row r="1645" spans="1:17" x14ac:dyDescent="0.25">
      <c r="A1645" t="s">
        <v>4102</v>
      </c>
      <c r="B1645" t="s">
        <v>4103</v>
      </c>
      <c r="C1645" s="1">
        <v>41275</v>
      </c>
      <c r="D1645" s="1">
        <v>41639</v>
      </c>
      <c r="E1645" t="s">
        <v>3226</v>
      </c>
      <c r="G1645" t="s">
        <v>4104</v>
      </c>
      <c r="H1645" t="s">
        <v>29</v>
      </c>
      <c r="I1645" t="str">
        <f>"62056"</f>
        <v>62056</v>
      </c>
      <c r="J1645" t="s">
        <v>22</v>
      </c>
      <c r="K1645" t="s">
        <v>30</v>
      </c>
      <c r="L1645" s="2">
        <v>2411937</v>
      </c>
      <c r="M1645" s="2">
        <v>284936</v>
      </c>
      <c r="N1645" s="2">
        <v>0</v>
      </c>
      <c r="O1645" s="2">
        <v>115708</v>
      </c>
      <c r="P1645" t="s">
        <v>24</v>
      </c>
      <c r="Q1645" t="s">
        <v>24</v>
      </c>
    </row>
    <row r="1646" spans="1:17" x14ac:dyDescent="0.25">
      <c r="A1646" t="s">
        <v>6808</v>
      </c>
      <c r="B1646" t="s">
        <v>6809</v>
      </c>
      <c r="C1646" s="1">
        <v>40909</v>
      </c>
      <c r="D1646" s="1">
        <v>41274</v>
      </c>
      <c r="E1646" t="s">
        <v>6810</v>
      </c>
      <c r="G1646" t="s">
        <v>462</v>
      </c>
      <c r="H1646" t="s">
        <v>47</v>
      </c>
      <c r="I1646" t="str">
        <f>"48602"</f>
        <v>48602</v>
      </c>
      <c r="J1646" t="s">
        <v>22</v>
      </c>
      <c r="K1646" t="s">
        <v>30</v>
      </c>
      <c r="L1646" s="2">
        <v>2408677</v>
      </c>
      <c r="M1646" s="2">
        <v>1828978</v>
      </c>
      <c r="N1646" s="2">
        <v>0</v>
      </c>
      <c r="O1646" s="2">
        <v>158235</v>
      </c>
      <c r="P1646" t="s">
        <v>24</v>
      </c>
      <c r="Q1646" t="s">
        <v>24</v>
      </c>
    </row>
    <row r="1647" spans="1:17" x14ac:dyDescent="0.25">
      <c r="A1647" t="s">
        <v>4114</v>
      </c>
      <c r="B1647" t="s">
        <v>4115</v>
      </c>
      <c r="E1647" t="s">
        <v>4116</v>
      </c>
      <c r="G1647" t="s">
        <v>4117</v>
      </c>
      <c r="H1647" t="s">
        <v>47</v>
      </c>
      <c r="I1647" t="str">
        <f>"49437"</f>
        <v>49437</v>
      </c>
      <c r="J1647" t="s">
        <v>22</v>
      </c>
      <c r="K1647" t="s">
        <v>23</v>
      </c>
      <c r="L1647" s="2">
        <v>2404998</v>
      </c>
      <c r="M1647" s="2">
        <v>1953700</v>
      </c>
      <c r="N1647" s="2">
        <v>0</v>
      </c>
      <c r="O1647" t="s">
        <v>24</v>
      </c>
      <c r="P1647" t="s">
        <v>24</v>
      </c>
      <c r="Q1647" t="s">
        <v>24</v>
      </c>
    </row>
    <row r="1648" spans="1:17" x14ac:dyDescent="0.25">
      <c r="A1648" t="s">
        <v>2763</v>
      </c>
      <c r="B1648" t="s">
        <v>2764</v>
      </c>
      <c r="C1648" s="1">
        <v>41275</v>
      </c>
      <c r="D1648" s="1">
        <v>41639</v>
      </c>
      <c r="E1648" t="s">
        <v>2765</v>
      </c>
      <c r="G1648" t="s">
        <v>2766</v>
      </c>
      <c r="H1648" t="s">
        <v>62</v>
      </c>
      <c r="I1648" t="str">
        <f>"43725"</f>
        <v>43725</v>
      </c>
      <c r="J1648" t="s">
        <v>63</v>
      </c>
      <c r="K1648" t="s">
        <v>79</v>
      </c>
      <c r="L1648" s="2">
        <v>2403366</v>
      </c>
      <c r="M1648" s="2">
        <v>179439</v>
      </c>
      <c r="N1648" s="2">
        <v>608836</v>
      </c>
      <c r="O1648" s="2">
        <v>152301</v>
      </c>
      <c r="P1648" s="2">
        <v>3761</v>
      </c>
      <c r="Q1648" s="2">
        <v>0</v>
      </c>
    </row>
    <row r="1649" spans="1:17" x14ac:dyDescent="0.25">
      <c r="A1649" t="s">
        <v>5758</v>
      </c>
      <c r="B1649" t="s">
        <v>5759</v>
      </c>
      <c r="C1649" s="1">
        <v>41275</v>
      </c>
      <c r="D1649" s="1">
        <v>41639</v>
      </c>
      <c r="E1649" t="s">
        <v>5760</v>
      </c>
      <c r="G1649" t="s">
        <v>86</v>
      </c>
      <c r="H1649" t="s">
        <v>21</v>
      </c>
      <c r="I1649" t="str">
        <f>"47250"</f>
        <v>47250</v>
      </c>
      <c r="J1649" t="s">
        <v>22</v>
      </c>
      <c r="K1649" t="s">
        <v>30</v>
      </c>
      <c r="L1649" s="2">
        <v>2397449</v>
      </c>
      <c r="M1649" s="2">
        <v>618181</v>
      </c>
      <c r="N1649" s="2">
        <v>0</v>
      </c>
      <c r="O1649" s="2">
        <v>116942</v>
      </c>
      <c r="P1649" t="s">
        <v>24</v>
      </c>
      <c r="Q1649" t="s">
        <v>24</v>
      </c>
    </row>
    <row r="1650" spans="1:17" x14ac:dyDescent="0.25">
      <c r="A1650" t="s">
        <v>645</v>
      </c>
      <c r="B1650" t="s">
        <v>646</v>
      </c>
      <c r="C1650" s="1">
        <v>40909</v>
      </c>
      <c r="D1650" s="1">
        <v>41274</v>
      </c>
      <c r="E1650" t="s">
        <v>647</v>
      </c>
      <c r="G1650" t="s">
        <v>648</v>
      </c>
      <c r="H1650" t="s">
        <v>62</v>
      </c>
      <c r="I1650" t="str">
        <f>"44286"</f>
        <v>44286</v>
      </c>
      <c r="J1650" t="s">
        <v>22</v>
      </c>
      <c r="K1650" t="s">
        <v>30</v>
      </c>
      <c r="L1650" s="2">
        <v>2391715</v>
      </c>
      <c r="M1650" s="2">
        <v>582789</v>
      </c>
      <c r="N1650" s="2">
        <v>0</v>
      </c>
      <c r="O1650" s="2">
        <v>161862</v>
      </c>
      <c r="P1650" t="s">
        <v>24</v>
      </c>
      <c r="Q1650" t="s">
        <v>24</v>
      </c>
    </row>
    <row r="1651" spans="1:17" x14ac:dyDescent="0.25">
      <c r="A1651" t="s">
        <v>4035</v>
      </c>
      <c r="B1651" t="s">
        <v>4036</v>
      </c>
      <c r="C1651" s="1">
        <v>41275</v>
      </c>
      <c r="D1651" s="1">
        <v>41639</v>
      </c>
      <c r="E1651" t="s">
        <v>4037</v>
      </c>
      <c r="G1651" t="s">
        <v>428</v>
      </c>
      <c r="H1651" t="s">
        <v>29</v>
      </c>
      <c r="I1651" t="str">
        <f>"60178"</f>
        <v>60178</v>
      </c>
      <c r="J1651" t="s">
        <v>22</v>
      </c>
      <c r="K1651" t="s">
        <v>23</v>
      </c>
      <c r="L1651" s="2">
        <v>2385633</v>
      </c>
      <c r="M1651" s="2">
        <v>1253243</v>
      </c>
      <c r="N1651" s="2">
        <v>0</v>
      </c>
      <c r="O1651" s="2">
        <v>80133</v>
      </c>
      <c r="P1651" t="s">
        <v>24</v>
      </c>
      <c r="Q1651" t="s">
        <v>24</v>
      </c>
    </row>
    <row r="1652" spans="1:17" x14ac:dyDescent="0.25">
      <c r="A1652" t="s">
        <v>5277</v>
      </c>
      <c r="B1652" t="s">
        <v>5278</v>
      </c>
      <c r="C1652" s="1">
        <v>41275</v>
      </c>
      <c r="D1652" s="1">
        <v>41639</v>
      </c>
      <c r="E1652" t="s">
        <v>5279</v>
      </c>
      <c r="G1652" t="s">
        <v>2675</v>
      </c>
      <c r="H1652" t="s">
        <v>47</v>
      </c>
      <c r="I1652" t="str">
        <f>"49120"</f>
        <v>49120</v>
      </c>
      <c r="J1652" t="s">
        <v>22</v>
      </c>
      <c r="K1652" t="s">
        <v>30</v>
      </c>
      <c r="L1652" s="2">
        <v>2385475</v>
      </c>
      <c r="M1652" s="2">
        <v>402267</v>
      </c>
      <c r="N1652" s="2">
        <v>0</v>
      </c>
      <c r="O1652" s="2">
        <v>113124</v>
      </c>
      <c r="P1652" t="s">
        <v>24</v>
      </c>
      <c r="Q1652" t="s">
        <v>24</v>
      </c>
    </row>
    <row r="1653" spans="1:17" x14ac:dyDescent="0.25">
      <c r="A1653" t="s">
        <v>6628</v>
      </c>
      <c r="B1653" t="s">
        <v>6629</v>
      </c>
      <c r="C1653" s="1">
        <v>41275</v>
      </c>
      <c r="D1653" s="1">
        <v>41639</v>
      </c>
      <c r="E1653" t="s">
        <v>320</v>
      </c>
      <c r="G1653" t="s">
        <v>139</v>
      </c>
      <c r="H1653" t="s">
        <v>47</v>
      </c>
      <c r="I1653" t="str">
        <f>"49501"</f>
        <v>49501</v>
      </c>
      <c r="J1653" t="s">
        <v>22</v>
      </c>
      <c r="K1653" t="s">
        <v>30</v>
      </c>
      <c r="L1653" s="2">
        <v>2382352</v>
      </c>
      <c r="M1653" s="2">
        <v>1948947</v>
      </c>
      <c r="N1653" s="2">
        <v>0</v>
      </c>
      <c r="O1653" s="2">
        <v>153474</v>
      </c>
      <c r="P1653" t="s">
        <v>24</v>
      </c>
      <c r="Q1653" t="s">
        <v>24</v>
      </c>
    </row>
    <row r="1654" spans="1:17" x14ac:dyDescent="0.25">
      <c r="A1654" t="s">
        <v>6072</v>
      </c>
      <c r="B1654" t="s">
        <v>6073</v>
      </c>
      <c r="C1654" s="1">
        <v>41275</v>
      </c>
      <c r="D1654" s="1">
        <v>41639</v>
      </c>
      <c r="E1654" t="s">
        <v>142</v>
      </c>
      <c r="G1654" t="s">
        <v>143</v>
      </c>
      <c r="H1654" t="s">
        <v>47</v>
      </c>
      <c r="I1654" t="str">
        <f>"48275"</f>
        <v>48275</v>
      </c>
      <c r="J1654" t="s">
        <v>22</v>
      </c>
      <c r="K1654" t="s">
        <v>30</v>
      </c>
      <c r="L1654" s="2">
        <v>2378813</v>
      </c>
      <c r="M1654" s="2">
        <v>3169809</v>
      </c>
      <c r="N1654" s="2">
        <v>0</v>
      </c>
      <c r="O1654" s="2">
        <v>276997</v>
      </c>
      <c r="P1654" t="s">
        <v>24</v>
      </c>
      <c r="Q1654" t="s">
        <v>24</v>
      </c>
    </row>
    <row r="1655" spans="1:17" x14ac:dyDescent="0.25">
      <c r="A1655" t="s">
        <v>3339</v>
      </c>
      <c r="B1655" t="s">
        <v>3340</v>
      </c>
      <c r="C1655" s="1">
        <v>41275</v>
      </c>
      <c r="D1655" s="1">
        <v>41639</v>
      </c>
      <c r="E1655" t="s">
        <v>3341</v>
      </c>
      <c r="G1655" t="s">
        <v>3342</v>
      </c>
      <c r="H1655" t="s">
        <v>29</v>
      </c>
      <c r="I1655" t="str">
        <f>"60491"</f>
        <v>60491</v>
      </c>
      <c r="J1655" t="s">
        <v>22</v>
      </c>
      <c r="K1655" t="s">
        <v>30</v>
      </c>
      <c r="L1655" s="2">
        <v>2377581</v>
      </c>
      <c r="M1655" s="2">
        <v>608376</v>
      </c>
      <c r="N1655" s="2">
        <v>0</v>
      </c>
      <c r="O1655" s="2">
        <v>193955</v>
      </c>
      <c r="P1655" t="s">
        <v>24</v>
      </c>
      <c r="Q1655" t="s">
        <v>24</v>
      </c>
    </row>
    <row r="1656" spans="1:17" x14ac:dyDescent="0.25">
      <c r="A1656" t="s">
        <v>6941</v>
      </c>
      <c r="B1656" t="s">
        <v>6942</v>
      </c>
      <c r="C1656" s="1">
        <v>41091</v>
      </c>
      <c r="D1656" s="1">
        <v>41455</v>
      </c>
      <c r="E1656" t="s">
        <v>6943</v>
      </c>
      <c r="G1656" t="s">
        <v>77</v>
      </c>
      <c r="H1656" t="s">
        <v>78</v>
      </c>
      <c r="I1656" t="str">
        <f>"40223"</f>
        <v>40223</v>
      </c>
      <c r="J1656" t="s">
        <v>22</v>
      </c>
      <c r="K1656" t="s">
        <v>23</v>
      </c>
      <c r="L1656" s="2">
        <v>2373186</v>
      </c>
      <c r="M1656" s="2">
        <v>1355959</v>
      </c>
      <c r="N1656" s="2">
        <v>0</v>
      </c>
      <c r="O1656" s="2">
        <v>138742</v>
      </c>
      <c r="P1656" t="s">
        <v>24</v>
      </c>
      <c r="Q1656" t="s">
        <v>24</v>
      </c>
    </row>
    <row r="1657" spans="1:17" x14ac:dyDescent="0.25">
      <c r="A1657" t="s">
        <v>3690</v>
      </c>
      <c r="B1657" t="s">
        <v>3691</v>
      </c>
      <c r="C1657" s="1">
        <v>41275</v>
      </c>
      <c r="D1657" s="1">
        <v>41639</v>
      </c>
      <c r="E1657" t="s">
        <v>3623</v>
      </c>
      <c r="G1657" t="s">
        <v>3624</v>
      </c>
      <c r="H1657" t="s">
        <v>47</v>
      </c>
      <c r="I1657" t="str">
        <f>"48858"</f>
        <v>48858</v>
      </c>
      <c r="J1657" t="s">
        <v>22</v>
      </c>
      <c r="K1657" t="s">
        <v>23</v>
      </c>
      <c r="L1657" s="2">
        <v>2370687</v>
      </c>
      <c r="M1657" s="2">
        <v>1408214</v>
      </c>
      <c r="N1657" s="2">
        <v>0</v>
      </c>
      <c r="O1657" s="2">
        <v>109145</v>
      </c>
      <c r="P1657" t="s">
        <v>24</v>
      </c>
      <c r="Q1657" t="s">
        <v>24</v>
      </c>
    </row>
    <row r="1658" spans="1:17" x14ac:dyDescent="0.25">
      <c r="A1658" t="s">
        <v>3394</v>
      </c>
      <c r="B1658" t="s">
        <v>3395</v>
      </c>
      <c r="C1658" s="1">
        <v>41609</v>
      </c>
      <c r="D1658" s="1">
        <v>41973</v>
      </c>
      <c r="E1658" t="s">
        <v>3396</v>
      </c>
      <c r="G1658" t="s">
        <v>1028</v>
      </c>
      <c r="H1658" t="s">
        <v>47</v>
      </c>
      <c r="I1658" t="str">
        <f>"48105"</f>
        <v>48105</v>
      </c>
      <c r="J1658" t="s">
        <v>22</v>
      </c>
      <c r="K1658" t="s">
        <v>30</v>
      </c>
      <c r="L1658" s="2">
        <v>2368705</v>
      </c>
      <c r="M1658" s="2">
        <v>598606</v>
      </c>
      <c r="N1658" s="2">
        <v>0</v>
      </c>
      <c r="O1658" s="2">
        <v>14528</v>
      </c>
      <c r="P1658" t="s">
        <v>24</v>
      </c>
      <c r="Q1658" t="s">
        <v>24</v>
      </c>
    </row>
    <row r="1659" spans="1:17" x14ac:dyDescent="0.25">
      <c r="A1659" t="s">
        <v>2224</v>
      </c>
      <c r="B1659" t="s">
        <v>2225</v>
      </c>
      <c r="C1659" s="1">
        <v>41275</v>
      </c>
      <c r="D1659" s="1">
        <v>41639</v>
      </c>
      <c r="E1659" t="s">
        <v>2226</v>
      </c>
      <c r="G1659" t="s">
        <v>1575</v>
      </c>
      <c r="H1659" t="s">
        <v>42</v>
      </c>
      <c r="I1659" t="str">
        <f>"54914"</f>
        <v>54914</v>
      </c>
      <c r="J1659" t="s">
        <v>22</v>
      </c>
      <c r="K1659" t="s">
        <v>23</v>
      </c>
      <c r="L1659" s="2">
        <v>2366394</v>
      </c>
      <c r="M1659" s="2">
        <v>1022592</v>
      </c>
      <c r="N1659" s="2">
        <v>0</v>
      </c>
      <c r="O1659" s="2">
        <v>121614</v>
      </c>
      <c r="P1659" t="s">
        <v>24</v>
      </c>
      <c r="Q1659" t="s">
        <v>24</v>
      </c>
    </row>
    <row r="1660" spans="1:17" x14ac:dyDescent="0.25">
      <c r="A1660" t="s">
        <v>4548</v>
      </c>
      <c r="B1660" t="s">
        <v>4549</v>
      </c>
      <c r="C1660" s="1">
        <v>41244</v>
      </c>
      <c r="D1660" s="1">
        <v>41608</v>
      </c>
      <c r="E1660" t="s">
        <v>4550</v>
      </c>
      <c r="G1660" t="s">
        <v>28</v>
      </c>
      <c r="H1660" t="s">
        <v>29</v>
      </c>
      <c r="I1660" t="str">
        <f>"60631"</f>
        <v>60631</v>
      </c>
      <c r="J1660" t="s">
        <v>22</v>
      </c>
      <c r="K1660" t="s">
        <v>30</v>
      </c>
      <c r="L1660" s="2">
        <v>2362169</v>
      </c>
      <c r="M1660" s="2">
        <v>236268</v>
      </c>
      <c r="N1660" s="2">
        <v>0</v>
      </c>
      <c r="O1660" s="2">
        <v>140034</v>
      </c>
      <c r="P1660" t="s">
        <v>24</v>
      </c>
      <c r="Q1660" t="s">
        <v>24</v>
      </c>
    </row>
    <row r="1661" spans="1:17" x14ac:dyDescent="0.25">
      <c r="A1661" t="s">
        <v>2285</v>
      </c>
      <c r="B1661" t="s">
        <v>2286</v>
      </c>
      <c r="C1661" s="1">
        <v>41275</v>
      </c>
      <c r="D1661" s="1">
        <v>41639</v>
      </c>
      <c r="E1661" t="s">
        <v>2272</v>
      </c>
      <c r="G1661" t="s">
        <v>843</v>
      </c>
      <c r="H1661" t="s">
        <v>29</v>
      </c>
      <c r="I1661" t="str">
        <f>"61107"</f>
        <v>61107</v>
      </c>
      <c r="J1661" t="s">
        <v>22</v>
      </c>
      <c r="K1661" t="s">
        <v>23</v>
      </c>
      <c r="L1661" s="2">
        <v>2358560</v>
      </c>
      <c r="M1661" s="2">
        <v>170884</v>
      </c>
      <c r="N1661" s="2">
        <v>0</v>
      </c>
      <c r="O1661" s="2">
        <v>132834</v>
      </c>
      <c r="P1661" t="s">
        <v>24</v>
      </c>
      <c r="Q1661" t="s">
        <v>24</v>
      </c>
    </row>
    <row r="1662" spans="1:17" x14ac:dyDescent="0.25">
      <c r="A1662" t="s">
        <v>2910</v>
      </c>
      <c r="B1662" t="s">
        <v>2911</v>
      </c>
      <c r="C1662" s="1">
        <v>41275</v>
      </c>
      <c r="D1662" s="1">
        <v>41639</v>
      </c>
      <c r="E1662" t="s">
        <v>2912</v>
      </c>
      <c r="G1662" t="s">
        <v>627</v>
      </c>
      <c r="H1662" t="s">
        <v>29</v>
      </c>
      <c r="I1662" t="str">
        <f>"60201"</f>
        <v>60201</v>
      </c>
      <c r="J1662" t="s">
        <v>22</v>
      </c>
      <c r="K1662" t="s">
        <v>23</v>
      </c>
      <c r="L1662" s="2">
        <v>2353461</v>
      </c>
      <c r="M1662" s="2">
        <v>424747</v>
      </c>
      <c r="N1662" s="2">
        <v>0</v>
      </c>
      <c r="O1662" s="2">
        <v>110675</v>
      </c>
      <c r="P1662" t="s">
        <v>24</v>
      </c>
      <c r="Q1662" t="s">
        <v>24</v>
      </c>
    </row>
    <row r="1663" spans="1:17" x14ac:dyDescent="0.25">
      <c r="A1663" t="s">
        <v>5554</v>
      </c>
      <c r="B1663" t="s">
        <v>5555</v>
      </c>
      <c r="C1663" s="1">
        <v>41275</v>
      </c>
      <c r="D1663" s="1">
        <v>41639</v>
      </c>
      <c r="E1663" t="s">
        <v>104</v>
      </c>
      <c r="G1663" t="s">
        <v>28</v>
      </c>
      <c r="H1663" t="s">
        <v>29</v>
      </c>
      <c r="I1663" t="str">
        <f>"60680"</f>
        <v>60680</v>
      </c>
      <c r="J1663" t="s">
        <v>22</v>
      </c>
      <c r="K1663" t="s">
        <v>30</v>
      </c>
      <c r="L1663" s="2">
        <v>2353402</v>
      </c>
      <c r="M1663" s="2">
        <v>345512</v>
      </c>
      <c r="N1663" s="2">
        <v>0</v>
      </c>
      <c r="O1663" s="2">
        <v>119009</v>
      </c>
      <c r="P1663" t="s">
        <v>24</v>
      </c>
      <c r="Q1663" t="s">
        <v>24</v>
      </c>
    </row>
    <row r="1664" spans="1:17" x14ac:dyDescent="0.25">
      <c r="A1664" t="s">
        <v>1383</v>
      </c>
      <c r="B1664" t="s">
        <v>1384</v>
      </c>
      <c r="C1664" s="1">
        <v>41275</v>
      </c>
      <c r="D1664" s="1">
        <v>41639</v>
      </c>
      <c r="E1664" t="s">
        <v>1385</v>
      </c>
      <c r="G1664" t="s">
        <v>1386</v>
      </c>
      <c r="H1664" t="s">
        <v>47</v>
      </c>
      <c r="I1664" t="str">
        <f>"48532"</f>
        <v>48532</v>
      </c>
      <c r="J1664" t="s">
        <v>22</v>
      </c>
      <c r="K1664" t="s">
        <v>23</v>
      </c>
      <c r="L1664" s="2">
        <v>2353357</v>
      </c>
      <c r="M1664" s="2">
        <v>3632105</v>
      </c>
      <c r="N1664" s="2">
        <v>0</v>
      </c>
      <c r="O1664" s="2">
        <v>75423</v>
      </c>
      <c r="P1664" t="s">
        <v>24</v>
      </c>
      <c r="Q1664" t="s">
        <v>24</v>
      </c>
    </row>
    <row r="1665" spans="1:17" x14ac:dyDescent="0.25">
      <c r="A1665" t="s">
        <v>4685</v>
      </c>
      <c r="B1665" t="s">
        <v>4686</v>
      </c>
      <c r="C1665" s="1">
        <v>41275</v>
      </c>
      <c r="D1665" s="1">
        <v>41639</v>
      </c>
      <c r="E1665" t="s">
        <v>4687</v>
      </c>
      <c r="G1665" t="s">
        <v>337</v>
      </c>
      <c r="H1665" t="s">
        <v>62</v>
      </c>
      <c r="I1665" t="str">
        <f>"44113"</f>
        <v>44113</v>
      </c>
      <c r="J1665" t="s">
        <v>22</v>
      </c>
      <c r="K1665" t="s">
        <v>30</v>
      </c>
      <c r="L1665" s="2">
        <v>2350872</v>
      </c>
      <c r="M1665" s="2">
        <v>519230</v>
      </c>
      <c r="N1665" s="2">
        <v>0</v>
      </c>
      <c r="O1665" s="2">
        <v>118654</v>
      </c>
      <c r="P1665" t="s">
        <v>24</v>
      </c>
      <c r="Q1665" t="s">
        <v>24</v>
      </c>
    </row>
    <row r="1666" spans="1:17" x14ac:dyDescent="0.25">
      <c r="A1666" t="s">
        <v>2273</v>
      </c>
      <c r="B1666" t="s">
        <v>2274</v>
      </c>
      <c r="C1666" s="1">
        <v>41275</v>
      </c>
      <c r="D1666" s="1">
        <v>41639</v>
      </c>
      <c r="E1666" t="s">
        <v>2272</v>
      </c>
      <c r="G1666" t="s">
        <v>843</v>
      </c>
      <c r="H1666" t="s">
        <v>29</v>
      </c>
      <c r="I1666" t="str">
        <f>"61107"</f>
        <v>61107</v>
      </c>
      <c r="J1666" t="s">
        <v>22</v>
      </c>
      <c r="K1666" t="s">
        <v>23</v>
      </c>
      <c r="L1666" s="2">
        <v>2348250</v>
      </c>
      <c r="M1666" s="2">
        <v>170417</v>
      </c>
      <c r="N1666" s="2">
        <v>0</v>
      </c>
      <c r="O1666" s="2">
        <v>130315</v>
      </c>
      <c r="P1666" t="s">
        <v>24</v>
      </c>
      <c r="Q1666" t="s">
        <v>24</v>
      </c>
    </row>
    <row r="1667" spans="1:17" x14ac:dyDescent="0.25">
      <c r="A1667" t="s">
        <v>1943</v>
      </c>
      <c r="B1667" t="s">
        <v>1944</v>
      </c>
      <c r="C1667" s="1">
        <v>41275</v>
      </c>
      <c r="D1667" s="1">
        <v>41639</v>
      </c>
      <c r="E1667" t="s">
        <v>1945</v>
      </c>
      <c r="G1667" t="s">
        <v>1946</v>
      </c>
      <c r="H1667" t="s">
        <v>78</v>
      </c>
      <c r="I1667" t="str">
        <f>"42135"</f>
        <v>42135</v>
      </c>
      <c r="J1667" t="s">
        <v>22</v>
      </c>
      <c r="K1667" t="s">
        <v>91</v>
      </c>
      <c r="L1667" s="2">
        <v>2347527</v>
      </c>
      <c r="M1667" s="2">
        <v>470794</v>
      </c>
      <c r="N1667" s="2">
        <v>0</v>
      </c>
      <c r="O1667" s="2">
        <v>110090</v>
      </c>
      <c r="P1667" t="s">
        <v>24</v>
      </c>
      <c r="Q1667" t="s">
        <v>24</v>
      </c>
    </row>
    <row r="1668" spans="1:17" x14ac:dyDescent="0.25">
      <c r="A1668" t="s">
        <v>4499</v>
      </c>
      <c r="B1668" t="s">
        <v>4500</v>
      </c>
      <c r="C1668" s="1">
        <v>41275</v>
      </c>
      <c r="D1668" s="1">
        <v>41639</v>
      </c>
      <c r="E1668" t="s">
        <v>4501</v>
      </c>
      <c r="G1668" t="s">
        <v>20</v>
      </c>
      <c r="H1668" t="s">
        <v>21</v>
      </c>
      <c r="I1668" t="str">
        <f>"46236"</f>
        <v>46236</v>
      </c>
      <c r="J1668" t="s">
        <v>22</v>
      </c>
      <c r="K1668" t="s">
        <v>30</v>
      </c>
      <c r="L1668" s="2">
        <v>2345649</v>
      </c>
      <c r="M1668" s="2">
        <v>786883</v>
      </c>
      <c r="N1668" s="2">
        <v>0</v>
      </c>
      <c r="O1668" s="2">
        <v>122233</v>
      </c>
      <c r="P1668" t="s">
        <v>24</v>
      </c>
      <c r="Q1668" t="s">
        <v>24</v>
      </c>
    </row>
    <row r="1669" spans="1:17" x14ac:dyDescent="0.25">
      <c r="A1669" t="s">
        <v>2483</v>
      </c>
      <c r="B1669" t="s">
        <v>2484</v>
      </c>
      <c r="C1669" s="1">
        <v>41275</v>
      </c>
      <c r="D1669" s="1">
        <v>41639</v>
      </c>
      <c r="E1669" t="s">
        <v>2485</v>
      </c>
      <c r="G1669" t="s">
        <v>2486</v>
      </c>
      <c r="H1669" t="s">
        <v>29</v>
      </c>
      <c r="I1669" t="str">
        <f>"60712"</f>
        <v>60712</v>
      </c>
      <c r="J1669" t="s">
        <v>22</v>
      </c>
      <c r="K1669" t="s">
        <v>23</v>
      </c>
      <c r="L1669" s="2">
        <v>2343892</v>
      </c>
      <c r="M1669" s="2">
        <v>66624</v>
      </c>
      <c r="N1669" s="2">
        <v>0</v>
      </c>
      <c r="O1669" s="2">
        <v>295068</v>
      </c>
      <c r="P1669" t="s">
        <v>24</v>
      </c>
      <c r="Q1669" t="s">
        <v>24</v>
      </c>
    </row>
    <row r="1670" spans="1:17" x14ac:dyDescent="0.25">
      <c r="A1670" t="s">
        <v>2097</v>
      </c>
      <c r="B1670" t="s">
        <v>2098</v>
      </c>
      <c r="C1670" s="1">
        <v>41275</v>
      </c>
      <c r="D1670" s="1">
        <v>41639</v>
      </c>
      <c r="E1670" t="s">
        <v>2099</v>
      </c>
      <c r="G1670" t="s">
        <v>139</v>
      </c>
      <c r="H1670" t="s">
        <v>47</v>
      </c>
      <c r="I1670" t="str">
        <f>"49505"</f>
        <v>49505</v>
      </c>
      <c r="J1670" t="s">
        <v>63</v>
      </c>
      <c r="K1670" t="s">
        <v>79</v>
      </c>
      <c r="L1670" s="2">
        <v>2342357</v>
      </c>
      <c r="M1670" s="2">
        <v>191704</v>
      </c>
      <c r="N1670" s="2">
        <v>26815</v>
      </c>
      <c r="O1670" s="2">
        <v>408890</v>
      </c>
      <c r="P1670" s="2">
        <v>61501</v>
      </c>
      <c r="Q1670" s="2">
        <v>129465</v>
      </c>
    </row>
    <row r="1671" spans="1:17" x14ac:dyDescent="0.25">
      <c r="A1671" t="s">
        <v>1703</v>
      </c>
      <c r="B1671" t="s">
        <v>1704</v>
      </c>
      <c r="C1671" s="1">
        <v>41456</v>
      </c>
      <c r="D1671" s="1">
        <v>41820</v>
      </c>
      <c r="E1671" t="s">
        <v>1705</v>
      </c>
      <c r="G1671" t="s">
        <v>77</v>
      </c>
      <c r="H1671" t="s">
        <v>78</v>
      </c>
      <c r="I1671" t="str">
        <f>"40213"</f>
        <v>40213</v>
      </c>
      <c r="J1671" t="s">
        <v>63</v>
      </c>
      <c r="K1671" t="s">
        <v>91</v>
      </c>
      <c r="L1671" s="2">
        <v>2341164</v>
      </c>
      <c r="M1671" s="2">
        <v>583701</v>
      </c>
      <c r="N1671" s="2">
        <v>0</v>
      </c>
      <c r="O1671" s="2">
        <v>321704</v>
      </c>
      <c r="P1671" s="2">
        <v>92630</v>
      </c>
      <c r="Q1671" s="2">
        <v>229074</v>
      </c>
    </row>
    <row r="1672" spans="1:17" x14ac:dyDescent="0.25">
      <c r="A1672" t="s">
        <v>1370</v>
      </c>
      <c r="B1672" t="s">
        <v>1371</v>
      </c>
      <c r="C1672" s="1">
        <v>41456</v>
      </c>
      <c r="D1672" s="1">
        <v>41820</v>
      </c>
      <c r="E1672" t="s">
        <v>1372</v>
      </c>
      <c r="G1672" t="s">
        <v>147</v>
      </c>
      <c r="H1672" t="s">
        <v>62</v>
      </c>
      <c r="I1672" t="str">
        <f>"44305"</f>
        <v>44305</v>
      </c>
      <c r="J1672" t="s">
        <v>63</v>
      </c>
      <c r="K1672" t="s">
        <v>79</v>
      </c>
      <c r="L1672" s="2">
        <v>2336186</v>
      </c>
      <c r="M1672" s="2">
        <v>306595</v>
      </c>
      <c r="N1672" s="2">
        <v>1372389</v>
      </c>
      <c r="O1672" s="2">
        <v>310861</v>
      </c>
      <c r="P1672" s="2">
        <v>35836</v>
      </c>
      <c r="Q1672" s="2">
        <v>0</v>
      </c>
    </row>
    <row r="1673" spans="1:17" x14ac:dyDescent="0.25">
      <c r="A1673" t="s">
        <v>2709</v>
      </c>
      <c r="B1673" t="s">
        <v>2710</v>
      </c>
      <c r="C1673" s="1">
        <v>41275</v>
      </c>
      <c r="D1673" s="1">
        <v>41639</v>
      </c>
      <c r="E1673" t="s">
        <v>489</v>
      </c>
      <c r="G1673" t="s">
        <v>337</v>
      </c>
      <c r="H1673" t="s">
        <v>62</v>
      </c>
      <c r="I1673" t="str">
        <f>"44101"</f>
        <v>44101</v>
      </c>
      <c r="J1673" t="s">
        <v>63</v>
      </c>
      <c r="K1673" t="s">
        <v>30</v>
      </c>
      <c r="L1673" s="2">
        <v>2334815</v>
      </c>
      <c r="M1673" s="2">
        <v>445615</v>
      </c>
      <c r="N1673" s="2">
        <v>0</v>
      </c>
      <c r="O1673" s="2">
        <v>95041</v>
      </c>
      <c r="P1673" s="2">
        <v>31239</v>
      </c>
      <c r="Q1673" s="2">
        <v>0</v>
      </c>
    </row>
    <row r="1674" spans="1:17" x14ac:dyDescent="0.25">
      <c r="A1674" t="s">
        <v>4366</v>
      </c>
      <c r="B1674" t="s">
        <v>4367</v>
      </c>
      <c r="C1674" s="1">
        <v>40909</v>
      </c>
      <c r="D1674" s="1">
        <v>41274</v>
      </c>
      <c r="E1674" t="s">
        <v>4368</v>
      </c>
      <c r="G1674" t="s">
        <v>311</v>
      </c>
      <c r="H1674" t="s">
        <v>21</v>
      </c>
      <c r="I1674" t="str">
        <f>"46545"</f>
        <v>46545</v>
      </c>
      <c r="J1674" t="s">
        <v>22</v>
      </c>
      <c r="K1674" t="s">
        <v>30</v>
      </c>
      <c r="L1674" s="2">
        <v>2323189</v>
      </c>
      <c r="M1674" s="2">
        <v>988576</v>
      </c>
      <c r="N1674" s="2">
        <v>0</v>
      </c>
      <c r="O1674" s="2">
        <v>91721</v>
      </c>
      <c r="P1674" t="s">
        <v>24</v>
      </c>
      <c r="Q1674" t="s">
        <v>24</v>
      </c>
    </row>
    <row r="1675" spans="1:17" x14ac:dyDescent="0.25">
      <c r="A1675" t="s">
        <v>7749</v>
      </c>
      <c r="B1675" t="s">
        <v>7750</v>
      </c>
      <c r="C1675" s="1">
        <v>41275</v>
      </c>
      <c r="D1675" s="1">
        <v>41639</v>
      </c>
      <c r="E1675" t="s">
        <v>7751</v>
      </c>
      <c r="G1675" t="s">
        <v>167</v>
      </c>
      <c r="H1675" t="s">
        <v>62</v>
      </c>
      <c r="I1675" t="str">
        <f>"45202"</f>
        <v>45202</v>
      </c>
      <c r="J1675" t="s">
        <v>22</v>
      </c>
      <c r="K1675" t="s">
        <v>30</v>
      </c>
      <c r="L1675" s="2">
        <v>2322260</v>
      </c>
      <c r="M1675" s="2">
        <v>2265399</v>
      </c>
      <c r="N1675" s="2">
        <v>0</v>
      </c>
      <c r="O1675" t="s">
        <v>24</v>
      </c>
      <c r="P1675" t="s">
        <v>24</v>
      </c>
      <c r="Q1675" t="s">
        <v>24</v>
      </c>
    </row>
    <row r="1676" spans="1:17" x14ac:dyDescent="0.25">
      <c r="A1676" t="s">
        <v>3153</v>
      </c>
      <c r="B1676" t="s">
        <v>3154</v>
      </c>
      <c r="C1676" s="1">
        <v>41365</v>
      </c>
      <c r="D1676" s="1">
        <v>41729</v>
      </c>
      <c r="E1676" t="s">
        <v>3155</v>
      </c>
      <c r="G1676" t="s">
        <v>1200</v>
      </c>
      <c r="H1676" t="s">
        <v>42</v>
      </c>
      <c r="I1676" t="str">
        <f>"53405"</f>
        <v>53405</v>
      </c>
      <c r="J1676" t="s">
        <v>22</v>
      </c>
      <c r="K1676" t="s">
        <v>23</v>
      </c>
      <c r="L1676" s="2">
        <v>2320695</v>
      </c>
      <c r="M1676" s="2">
        <v>672074</v>
      </c>
      <c r="N1676" s="2">
        <v>4000</v>
      </c>
      <c r="O1676" s="2">
        <v>147575</v>
      </c>
      <c r="P1676" t="s">
        <v>24</v>
      </c>
      <c r="Q1676" t="s">
        <v>24</v>
      </c>
    </row>
    <row r="1677" spans="1:17" x14ac:dyDescent="0.25">
      <c r="A1677" t="s">
        <v>3759</v>
      </c>
      <c r="B1677" t="s">
        <v>3760</v>
      </c>
      <c r="C1677" s="1">
        <v>41275</v>
      </c>
      <c r="D1677" s="1">
        <v>41639</v>
      </c>
      <c r="E1677" t="s">
        <v>352</v>
      </c>
      <c r="G1677" t="s">
        <v>353</v>
      </c>
      <c r="H1677" t="s">
        <v>62</v>
      </c>
      <c r="I1677" t="str">
        <f>"43205"</f>
        <v>43205</v>
      </c>
      <c r="J1677" t="s">
        <v>63</v>
      </c>
      <c r="K1677" t="s">
        <v>30</v>
      </c>
      <c r="L1677" s="2">
        <v>2314835</v>
      </c>
      <c r="M1677" s="2">
        <v>157102</v>
      </c>
      <c r="N1677" s="2">
        <v>23850</v>
      </c>
      <c r="O1677" s="2">
        <v>72182</v>
      </c>
      <c r="P1677" s="2">
        <v>22182</v>
      </c>
      <c r="Q1677" s="2">
        <v>0</v>
      </c>
    </row>
    <row r="1678" spans="1:17" x14ac:dyDescent="0.25">
      <c r="A1678" t="s">
        <v>5978</v>
      </c>
      <c r="B1678" t="s">
        <v>5979</v>
      </c>
      <c r="C1678" s="1">
        <v>41275</v>
      </c>
      <c r="D1678" s="1">
        <v>41639</v>
      </c>
      <c r="E1678" t="s">
        <v>5980</v>
      </c>
      <c r="G1678" t="s">
        <v>1809</v>
      </c>
      <c r="H1678" t="s">
        <v>29</v>
      </c>
      <c r="I1678" t="str">
        <f>"60045"</f>
        <v>60045</v>
      </c>
      <c r="J1678" t="s">
        <v>22</v>
      </c>
      <c r="K1678" t="s">
        <v>30</v>
      </c>
      <c r="L1678" s="2">
        <v>2314579</v>
      </c>
      <c r="M1678" s="2">
        <v>322025</v>
      </c>
      <c r="N1678" s="2">
        <v>15496</v>
      </c>
      <c r="O1678" s="2">
        <v>280295</v>
      </c>
      <c r="P1678" t="s">
        <v>24</v>
      </c>
      <c r="Q1678" t="s">
        <v>24</v>
      </c>
    </row>
    <row r="1679" spans="1:17" x14ac:dyDescent="0.25">
      <c r="A1679" t="s">
        <v>550</v>
      </c>
      <c r="B1679" t="s">
        <v>551</v>
      </c>
      <c r="C1679" s="1">
        <v>41091</v>
      </c>
      <c r="D1679" s="1">
        <v>41455</v>
      </c>
      <c r="E1679" t="s">
        <v>552</v>
      </c>
      <c r="G1679" t="s">
        <v>553</v>
      </c>
      <c r="H1679" t="s">
        <v>62</v>
      </c>
      <c r="I1679" t="str">
        <f>"43560"</f>
        <v>43560</v>
      </c>
      <c r="J1679" t="s">
        <v>63</v>
      </c>
      <c r="K1679" t="s">
        <v>30</v>
      </c>
      <c r="L1679" s="2">
        <v>2310758</v>
      </c>
      <c r="M1679" s="2">
        <v>65362</v>
      </c>
      <c r="N1679" s="2">
        <v>0</v>
      </c>
      <c r="O1679" s="2">
        <v>81564</v>
      </c>
      <c r="P1679" s="2">
        <v>12754</v>
      </c>
      <c r="Q1679" s="2">
        <v>0</v>
      </c>
    </row>
    <row r="1680" spans="1:17" x14ac:dyDescent="0.25">
      <c r="A1680" t="s">
        <v>7331</v>
      </c>
      <c r="B1680" t="s">
        <v>7332</v>
      </c>
      <c r="C1680" s="1">
        <v>41275</v>
      </c>
      <c r="D1680" s="1">
        <v>41639</v>
      </c>
      <c r="E1680" t="s">
        <v>7333</v>
      </c>
      <c r="G1680" t="s">
        <v>77</v>
      </c>
      <c r="H1680" t="s">
        <v>78</v>
      </c>
      <c r="I1680" t="str">
        <f>"40202"</f>
        <v>40202</v>
      </c>
      <c r="J1680" t="s">
        <v>22</v>
      </c>
      <c r="K1680" t="s">
        <v>30</v>
      </c>
      <c r="L1680" s="2">
        <v>2308276</v>
      </c>
      <c r="M1680" s="2">
        <v>1213647</v>
      </c>
      <c r="N1680" s="2">
        <v>0</v>
      </c>
      <c r="O1680" s="2">
        <v>143282</v>
      </c>
      <c r="P1680" t="s">
        <v>24</v>
      </c>
      <c r="Q1680" t="s">
        <v>24</v>
      </c>
    </row>
    <row r="1681" spans="1:17" x14ac:dyDescent="0.25">
      <c r="A1681" t="s">
        <v>1712</v>
      </c>
      <c r="B1681" t="s">
        <v>1713</v>
      </c>
      <c r="C1681" s="1">
        <v>40909</v>
      </c>
      <c r="D1681" s="1">
        <v>41274</v>
      </c>
      <c r="E1681" t="s">
        <v>1714</v>
      </c>
      <c r="G1681" t="s">
        <v>1054</v>
      </c>
      <c r="H1681" t="s">
        <v>47</v>
      </c>
      <c r="I1681" t="str">
        <f>"48323"</f>
        <v>48323</v>
      </c>
      <c r="J1681" t="s">
        <v>22</v>
      </c>
      <c r="K1681" t="s">
        <v>23</v>
      </c>
      <c r="L1681" s="2">
        <v>2308213</v>
      </c>
      <c r="M1681" s="2">
        <v>51334</v>
      </c>
      <c r="N1681" s="2">
        <v>0</v>
      </c>
      <c r="O1681" s="2">
        <v>94455</v>
      </c>
      <c r="P1681" t="s">
        <v>24</v>
      </c>
      <c r="Q1681" t="s">
        <v>24</v>
      </c>
    </row>
    <row r="1682" spans="1:17" x14ac:dyDescent="0.25">
      <c r="A1682" t="s">
        <v>5303</v>
      </c>
      <c r="B1682" t="s">
        <v>5304</v>
      </c>
      <c r="C1682" s="1">
        <v>41275</v>
      </c>
      <c r="D1682" s="1">
        <v>41639</v>
      </c>
      <c r="E1682" t="s">
        <v>5305</v>
      </c>
      <c r="G1682" t="s">
        <v>337</v>
      </c>
      <c r="H1682" t="s">
        <v>62</v>
      </c>
      <c r="I1682" t="str">
        <f>"44113"</f>
        <v>44113</v>
      </c>
      <c r="J1682" t="s">
        <v>22</v>
      </c>
      <c r="K1682" t="s">
        <v>23</v>
      </c>
      <c r="L1682" s="2">
        <v>2307794</v>
      </c>
      <c r="M1682" s="2">
        <v>1071487</v>
      </c>
      <c r="N1682" s="2">
        <v>0</v>
      </c>
      <c r="O1682" s="2">
        <v>123386</v>
      </c>
      <c r="P1682" t="s">
        <v>24</v>
      </c>
      <c r="Q1682" t="s">
        <v>24</v>
      </c>
    </row>
    <row r="1683" spans="1:17" x14ac:dyDescent="0.25">
      <c r="A1683" t="s">
        <v>439</v>
      </c>
      <c r="B1683" t="s">
        <v>440</v>
      </c>
      <c r="C1683" s="1">
        <v>41275</v>
      </c>
      <c r="D1683" s="1">
        <v>41639</v>
      </c>
      <c r="E1683" t="s">
        <v>441</v>
      </c>
      <c r="G1683" t="s">
        <v>307</v>
      </c>
      <c r="H1683" t="s">
        <v>29</v>
      </c>
      <c r="I1683" t="str">
        <f>"60093"</f>
        <v>60093</v>
      </c>
      <c r="J1683" t="s">
        <v>22</v>
      </c>
      <c r="K1683" t="s">
        <v>23</v>
      </c>
      <c r="L1683" s="2">
        <v>2304070</v>
      </c>
      <c r="M1683" s="2">
        <v>2988920</v>
      </c>
      <c r="N1683" s="2">
        <v>0</v>
      </c>
      <c r="O1683" s="2">
        <v>230360</v>
      </c>
      <c r="P1683" t="s">
        <v>24</v>
      </c>
      <c r="Q1683" t="s">
        <v>24</v>
      </c>
    </row>
    <row r="1684" spans="1:17" x14ac:dyDescent="0.25">
      <c r="A1684" t="s">
        <v>3899</v>
      </c>
      <c r="B1684" t="s">
        <v>3900</v>
      </c>
      <c r="E1684" t="s">
        <v>3901</v>
      </c>
      <c r="G1684" t="s">
        <v>20</v>
      </c>
      <c r="H1684" t="s">
        <v>21</v>
      </c>
      <c r="I1684" t="str">
        <f>"46204"</f>
        <v>46204</v>
      </c>
      <c r="J1684" t="s">
        <v>22</v>
      </c>
      <c r="K1684" t="s">
        <v>23</v>
      </c>
      <c r="L1684" s="2">
        <v>2304055</v>
      </c>
      <c r="M1684" s="2">
        <v>4571670</v>
      </c>
      <c r="N1684" s="2">
        <v>0</v>
      </c>
      <c r="O1684" t="s">
        <v>24</v>
      </c>
      <c r="P1684" t="s">
        <v>24</v>
      </c>
      <c r="Q1684" t="s">
        <v>24</v>
      </c>
    </row>
    <row r="1685" spans="1:17" x14ac:dyDescent="0.25">
      <c r="A1685" t="s">
        <v>6781</v>
      </c>
      <c r="B1685" t="s">
        <v>6782</v>
      </c>
      <c r="C1685" s="1">
        <v>41091</v>
      </c>
      <c r="D1685" s="1">
        <v>41455</v>
      </c>
      <c r="E1685" t="s">
        <v>6783</v>
      </c>
      <c r="G1685" t="s">
        <v>86</v>
      </c>
      <c r="H1685" t="s">
        <v>42</v>
      </c>
      <c r="I1685" t="str">
        <f>"53703"</f>
        <v>53703</v>
      </c>
      <c r="J1685" t="s">
        <v>63</v>
      </c>
      <c r="K1685" t="s">
        <v>79</v>
      </c>
      <c r="L1685" s="2">
        <v>2290232</v>
      </c>
      <c r="M1685" s="2">
        <v>1338654</v>
      </c>
      <c r="N1685" s="2">
        <v>662757</v>
      </c>
      <c r="O1685" s="2">
        <v>1435284</v>
      </c>
      <c r="P1685" s="2">
        <v>143528</v>
      </c>
      <c r="Q1685" s="2">
        <v>0</v>
      </c>
    </row>
    <row r="1686" spans="1:17" x14ac:dyDescent="0.25">
      <c r="A1686" t="s">
        <v>2156</v>
      </c>
      <c r="B1686" t="s">
        <v>2157</v>
      </c>
      <c r="C1686" s="1">
        <v>41275</v>
      </c>
      <c r="D1686" s="1">
        <v>41639</v>
      </c>
      <c r="E1686" t="s">
        <v>1725</v>
      </c>
      <c r="G1686" t="s">
        <v>1726</v>
      </c>
      <c r="H1686" t="s">
        <v>47</v>
      </c>
      <c r="I1686" t="str">
        <f>"48093"</f>
        <v>48093</v>
      </c>
      <c r="J1686" t="s">
        <v>22</v>
      </c>
      <c r="K1686" t="s">
        <v>30</v>
      </c>
      <c r="L1686" s="2">
        <v>2290117</v>
      </c>
      <c r="M1686" s="2">
        <v>350576</v>
      </c>
      <c r="N1686" s="2">
        <v>0</v>
      </c>
      <c r="O1686" s="2">
        <v>108533</v>
      </c>
      <c r="P1686" t="s">
        <v>24</v>
      </c>
      <c r="Q1686" t="s">
        <v>24</v>
      </c>
    </row>
    <row r="1687" spans="1:17" x14ac:dyDescent="0.25">
      <c r="A1687" t="s">
        <v>2270</v>
      </c>
      <c r="B1687" t="s">
        <v>2271</v>
      </c>
      <c r="C1687" s="1">
        <v>41275</v>
      </c>
      <c r="D1687" s="1">
        <v>41639</v>
      </c>
      <c r="E1687" t="s">
        <v>2272</v>
      </c>
      <c r="G1687" t="s">
        <v>843</v>
      </c>
      <c r="H1687" t="s">
        <v>29</v>
      </c>
      <c r="I1687" t="str">
        <f>"61107"</f>
        <v>61107</v>
      </c>
      <c r="J1687" t="s">
        <v>22</v>
      </c>
      <c r="K1687" t="s">
        <v>23</v>
      </c>
      <c r="L1687" s="2">
        <v>2288293</v>
      </c>
      <c r="M1687" s="2">
        <v>165925</v>
      </c>
      <c r="N1687" s="2">
        <v>0</v>
      </c>
      <c r="O1687" s="2">
        <v>129307</v>
      </c>
      <c r="P1687" t="s">
        <v>24</v>
      </c>
      <c r="Q1687" t="s">
        <v>24</v>
      </c>
    </row>
    <row r="1688" spans="1:17" x14ac:dyDescent="0.25">
      <c r="A1688" t="s">
        <v>7020</v>
      </c>
      <c r="B1688" t="s">
        <v>7021</v>
      </c>
      <c r="C1688" s="1">
        <v>41426</v>
      </c>
      <c r="D1688" s="1">
        <v>41790</v>
      </c>
      <c r="E1688" t="s">
        <v>7022</v>
      </c>
      <c r="G1688" t="s">
        <v>7023</v>
      </c>
      <c r="H1688" t="s">
        <v>29</v>
      </c>
      <c r="I1688" t="str">
        <f>"60033"</f>
        <v>60033</v>
      </c>
      <c r="J1688" t="s">
        <v>22</v>
      </c>
      <c r="K1688" t="s">
        <v>23</v>
      </c>
      <c r="L1688" s="2">
        <v>2287421</v>
      </c>
      <c r="M1688" s="2">
        <v>1795147</v>
      </c>
      <c r="N1688" s="2">
        <v>0</v>
      </c>
      <c r="O1688" s="2">
        <v>106430</v>
      </c>
      <c r="P1688" t="s">
        <v>24</v>
      </c>
      <c r="Q1688" t="s">
        <v>24</v>
      </c>
    </row>
    <row r="1689" spans="1:17" x14ac:dyDescent="0.25">
      <c r="A1689" t="s">
        <v>4478</v>
      </c>
      <c r="B1689" t="s">
        <v>4479</v>
      </c>
      <c r="C1689" s="1">
        <v>41275</v>
      </c>
      <c r="D1689" s="1">
        <v>41639</v>
      </c>
      <c r="E1689" t="s">
        <v>4480</v>
      </c>
      <c r="G1689" t="s">
        <v>644</v>
      </c>
      <c r="H1689" t="s">
        <v>62</v>
      </c>
      <c r="I1689" t="str">
        <f>"45320"</f>
        <v>45320</v>
      </c>
      <c r="J1689" t="s">
        <v>22</v>
      </c>
      <c r="K1689" t="s">
        <v>23</v>
      </c>
      <c r="L1689" s="2">
        <v>2285941</v>
      </c>
      <c r="M1689" s="2">
        <v>516785</v>
      </c>
      <c r="N1689" s="2">
        <v>0</v>
      </c>
      <c r="O1689" s="2">
        <v>132789</v>
      </c>
      <c r="P1689" t="s">
        <v>24</v>
      </c>
      <c r="Q1689" t="s">
        <v>24</v>
      </c>
    </row>
    <row r="1690" spans="1:17" x14ac:dyDescent="0.25">
      <c r="A1690" t="s">
        <v>5328</v>
      </c>
      <c r="B1690" t="s">
        <v>5329</v>
      </c>
      <c r="C1690" s="1">
        <v>41275</v>
      </c>
      <c r="D1690" s="1">
        <v>41639</v>
      </c>
      <c r="E1690" t="s">
        <v>5330</v>
      </c>
      <c r="G1690" t="s">
        <v>4249</v>
      </c>
      <c r="H1690" t="s">
        <v>62</v>
      </c>
      <c r="I1690" t="str">
        <f>"43035"</f>
        <v>43035</v>
      </c>
      <c r="J1690" t="s">
        <v>22</v>
      </c>
      <c r="K1690" t="s">
        <v>30</v>
      </c>
      <c r="L1690" s="2">
        <v>2283875</v>
      </c>
      <c r="M1690" s="2">
        <v>796039</v>
      </c>
      <c r="N1690" s="2">
        <v>315974</v>
      </c>
      <c r="O1690" s="2">
        <v>124897</v>
      </c>
      <c r="P1690" t="s">
        <v>24</v>
      </c>
      <c r="Q1690" t="s">
        <v>24</v>
      </c>
    </row>
    <row r="1691" spans="1:17" x14ac:dyDescent="0.25">
      <c r="A1691" t="s">
        <v>1904</v>
      </c>
      <c r="B1691" t="s">
        <v>1905</v>
      </c>
      <c r="C1691" s="1">
        <v>41456</v>
      </c>
      <c r="D1691" s="1">
        <v>41820</v>
      </c>
      <c r="E1691" t="s">
        <v>1906</v>
      </c>
      <c r="G1691" t="s">
        <v>1907</v>
      </c>
      <c r="H1691" t="s">
        <v>62</v>
      </c>
      <c r="I1691" t="str">
        <f>"45846"</f>
        <v>45846</v>
      </c>
      <c r="J1691" t="s">
        <v>63</v>
      </c>
      <c r="K1691" t="s">
        <v>64</v>
      </c>
      <c r="L1691" s="2">
        <v>2283206</v>
      </c>
      <c r="M1691" s="2">
        <v>939800</v>
      </c>
      <c r="N1691" s="2">
        <v>0</v>
      </c>
      <c r="O1691" s="2">
        <v>260596</v>
      </c>
      <c r="P1691" s="2">
        <v>0</v>
      </c>
      <c r="Q1691" s="2">
        <v>0</v>
      </c>
    </row>
    <row r="1692" spans="1:17" x14ac:dyDescent="0.25">
      <c r="A1692" t="s">
        <v>6923</v>
      </c>
      <c r="B1692" t="s">
        <v>6924</v>
      </c>
      <c r="C1692" s="1">
        <v>41275</v>
      </c>
      <c r="D1692" s="1">
        <v>41639</v>
      </c>
      <c r="E1692" t="s">
        <v>6925</v>
      </c>
      <c r="G1692" t="s">
        <v>6926</v>
      </c>
      <c r="H1692" t="s">
        <v>29</v>
      </c>
      <c r="I1692" t="str">
        <f>"60143"</f>
        <v>60143</v>
      </c>
      <c r="J1692" t="s">
        <v>22</v>
      </c>
      <c r="K1692" t="s">
        <v>91</v>
      </c>
      <c r="L1692" s="2">
        <v>2277487</v>
      </c>
      <c r="M1692" s="2">
        <v>1739987</v>
      </c>
      <c r="N1692" s="2">
        <v>0</v>
      </c>
      <c r="O1692" s="2">
        <v>125137</v>
      </c>
      <c r="P1692" t="s">
        <v>24</v>
      </c>
      <c r="Q1692" t="s">
        <v>24</v>
      </c>
    </row>
    <row r="1693" spans="1:17" x14ac:dyDescent="0.25">
      <c r="A1693" t="s">
        <v>3307</v>
      </c>
      <c r="B1693" t="s">
        <v>3308</v>
      </c>
      <c r="C1693" s="1">
        <v>41275</v>
      </c>
      <c r="D1693" s="1">
        <v>41639</v>
      </c>
      <c r="E1693" t="s">
        <v>1496</v>
      </c>
      <c r="G1693" t="s">
        <v>167</v>
      </c>
      <c r="H1693" t="s">
        <v>62</v>
      </c>
      <c r="I1693" t="str">
        <f>"45263"</f>
        <v>45263</v>
      </c>
      <c r="J1693" t="s">
        <v>22</v>
      </c>
      <c r="K1693" t="s">
        <v>30</v>
      </c>
      <c r="L1693" s="2">
        <v>2273505</v>
      </c>
      <c r="M1693" s="2">
        <v>165780</v>
      </c>
      <c r="N1693" s="2">
        <v>0</v>
      </c>
      <c r="O1693" s="2">
        <v>121076</v>
      </c>
      <c r="P1693" t="s">
        <v>24</v>
      </c>
      <c r="Q1693" t="s">
        <v>24</v>
      </c>
    </row>
    <row r="1694" spans="1:17" x14ac:dyDescent="0.25">
      <c r="A1694" t="s">
        <v>5016</v>
      </c>
      <c r="B1694" t="s">
        <v>5017</v>
      </c>
      <c r="C1694" s="1">
        <v>41275</v>
      </c>
      <c r="D1694" s="1">
        <v>41639</v>
      </c>
      <c r="E1694" t="s">
        <v>5018</v>
      </c>
      <c r="G1694" t="s">
        <v>57</v>
      </c>
      <c r="H1694" t="s">
        <v>29</v>
      </c>
      <c r="I1694" t="str">
        <f>"60523"</f>
        <v>60523</v>
      </c>
      <c r="J1694" t="s">
        <v>22</v>
      </c>
      <c r="K1694" t="s">
        <v>30</v>
      </c>
      <c r="L1694" s="2">
        <v>2269377</v>
      </c>
      <c r="M1694" s="2">
        <v>7216</v>
      </c>
      <c r="N1694" s="2">
        <v>0</v>
      </c>
      <c r="O1694" s="2">
        <v>110225</v>
      </c>
      <c r="P1694" t="s">
        <v>24</v>
      </c>
      <c r="Q1694" t="s">
        <v>24</v>
      </c>
    </row>
    <row r="1695" spans="1:17" x14ac:dyDescent="0.25">
      <c r="A1695" t="s">
        <v>4529</v>
      </c>
      <c r="B1695" t="s">
        <v>4530</v>
      </c>
      <c r="C1695" s="1">
        <v>41275</v>
      </c>
      <c r="D1695" s="1">
        <v>41639</v>
      </c>
      <c r="E1695" t="s">
        <v>4531</v>
      </c>
      <c r="G1695" t="s">
        <v>4532</v>
      </c>
      <c r="H1695" t="s">
        <v>42</v>
      </c>
      <c r="I1695" t="str">
        <f>"53713"</f>
        <v>53713</v>
      </c>
      <c r="J1695" t="s">
        <v>22</v>
      </c>
      <c r="K1695" t="s">
        <v>23</v>
      </c>
      <c r="L1695" s="2">
        <v>2261767</v>
      </c>
      <c r="M1695" s="2">
        <v>1048312</v>
      </c>
      <c r="N1695" s="2">
        <v>0</v>
      </c>
      <c r="O1695" s="2">
        <v>66105</v>
      </c>
      <c r="P1695" t="s">
        <v>24</v>
      </c>
      <c r="Q1695" t="s">
        <v>24</v>
      </c>
    </row>
    <row r="1696" spans="1:17" x14ac:dyDescent="0.25">
      <c r="A1696" t="s">
        <v>6294</v>
      </c>
      <c r="B1696" t="s">
        <v>6295</v>
      </c>
      <c r="C1696" s="1">
        <v>41426</v>
      </c>
      <c r="D1696" s="1">
        <v>41790</v>
      </c>
      <c r="E1696" t="s">
        <v>50</v>
      </c>
      <c r="G1696" t="s">
        <v>28</v>
      </c>
      <c r="H1696" t="s">
        <v>29</v>
      </c>
      <c r="I1696" t="str">
        <f>"60603"</f>
        <v>60603</v>
      </c>
      <c r="J1696" t="s">
        <v>22</v>
      </c>
      <c r="K1696" t="s">
        <v>23</v>
      </c>
      <c r="L1696" s="2">
        <v>2260197</v>
      </c>
      <c r="M1696" s="2">
        <v>1007352</v>
      </c>
      <c r="N1696" s="2">
        <v>0</v>
      </c>
      <c r="O1696" s="2">
        <v>124068</v>
      </c>
      <c r="P1696" t="s">
        <v>24</v>
      </c>
      <c r="Q1696" t="s">
        <v>24</v>
      </c>
    </row>
    <row r="1697" spans="1:17" x14ac:dyDescent="0.25">
      <c r="A1697" t="s">
        <v>4613</v>
      </c>
      <c r="B1697" t="s">
        <v>4614</v>
      </c>
      <c r="C1697" s="1">
        <v>40817</v>
      </c>
      <c r="D1697" s="1">
        <v>41182</v>
      </c>
      <c r="E1697" t="s">
        <v>4615</v>
      </c>
      <c r="G1697" t="s">
        <v>4616</v>
      </c>
      <c r="H1697" t="s">
        <v>62</v>
      </c>
      <c r="I1697" t="str">
        <f>"44264"</f>
        <v>44264</v>
      </c>
      <c r="J1697" t="s">
        <v>752</v>
      </c>
      <c r="K1697" t="s">
        <v>753</v>
      </c>
      <c r="L1697" s="2">
        <v>2260193</v>
      </c>
      <c r="M1697" s="2">
        <v>182859</v>
      </c>
      <c r="N1697" s="2">
        <v>0</v>
      </c>
      <c r="O1697" s="2">
        <v>157854</v>
      </c>
      <c r="P1697" t="s">
        <v>24</v>
      </c>
      <c r="Q1697" t="s">
        <v>24</v>
      </c>
    </row>
    <row r="1698" spans="1:17" x14ac:dyDescent="0.25">
      <c r="A1698" t="s">
        <v>7588</v>
      </c>
      <c r="B1698" t="s">
        <v>7589</v>
      </c>
      <c r="C1698" s="1">
        <v>41275</v>
      </c>
      <c r="D1698" s="1">
        <v>41639</v>
      </c>
      <c r="E1698" t="s">
        <v>163</v>
      </c>
      <c r="G1698" t="s">
        <v>28</v>
      </c>
      <c r="H1698" t="s">
        <v>29</v>
      </c>
      <c r="I1698" t="str">
        <f>"60603"</f>
        <v>60603</v>
      </c>
      <c r="J1698" t="s">
        <v>22</v>
      </c>
      <c r="K1698" t="s">
        <v>23</v>
      </c>
      <c r="L1698" s="2">
        <v>2254638</v>
      </c>
      <c r="M1698" s="2">
        <v>1002247</v>
      </c>
      <c r="N1698" s="2">
        <v>0</v>
      </c>
      <c r="O1698" s="2">
        <v>125730</v>
      </c>
      <c r="P1698" t="s">
        <v>24</v>
      </c>
      <c r="Q1698" t="s">
        <v>24</v>
      </c>
    </row>
    <row r="1699" spans="1:17" x14ac:dyDescent="0.25">
      <c r="A1699" t="s">
        <v>4155</v>
      </c>
      <c r="B1699" t="s">
        <v>4156</v>
      </c>
      <c r="C1699" s="1">
        <v>41275</v>
      </c>
      <c r="D1699" s="1">
        <v>41639</v>
      </c>
      <c r="E1699" t="s">
        <v>4157</v>
      </c>
      <c r="G1699" t="s">
        <v>2241</v>
      </c>
      <c r="H1699" t="s">
        <v>47</v>
      </c>
      <c r="I1699" t="str">
        <f>"48060"</f>
        <v>48060</v>
      </c>
      <c r="J1699" t="s">
        <v>752</v>
      </c>
      <c r="K1699" t="s">
        <v>30</v>
      </c>
      <c r="L1699" s="2">
        <v>2251020</v>
      </c>
      <c r="M1699" s="2">
        <v>121104</v>
      </c>
      <c r="N1699" s="2">
        <v>0</v>
      </c>
      <c r="O1699" s="2">
        <v>92824</v>
      </c>
      <c r="P1699" t="s">
        <v>24</v>
      </c>
      <c r="Q1699" t="s">
        <v>24</v>
      </c>
    </row>
    <row r="1700" spans="1:17" x14ac:dyDescent="0.25">
      <c r="A1700" t="s">
        <v>641</v>
      </c>
      <c r="B1700" t="s">
        <v>642</v>
      </c>
      <c r="C1700" s="1">
        <v>41275</v>
      </c>
      <c r="D1700" s="1">
        <v>41639</v>
      </c>
      <c r="E1700" t="s">
        <v>643</v>
      </c>
      <c r="G1700" t="s">
        <v>644</v>
      </c>
      <c r="H1700" t="s">
        <v>62</v>
      </c>
      <c r="I1700" t="str">
        <f>"45320"</f>
        <v>45320</v>
      </c>
      <c r="J1700" t="s">
        <v>22</v>
      </c>
      <c r="K1700" t="s">
        <v>30</v>
      </c>
      <c r="L1700" s="2">
        <v>2250105</v>
      </c>
      <c r="M1700" s="2">
        <v>820222</v>
      </c>
      <c r="N1700" s="2">
        <v>0</v>
      </c>
      <c r="O1700" s="2">
        <v>77635</v>
      </c>
      <c r="P1700" t="s">
        <v>24</v>
      </c>
      <c r="Q1700" t="s">
        <v>24</v>
      </c>
    </row>
    <row r="1701" spans="1:17" x14ac:dyDescent="0.25">
      <c r="A1701" t="s">
        <v>262</v>
      </c>
      <c r="B1701" t="s">
        <v>263</v>
      </c>
      <c r="C1701" s="1">
        <v>41275</v>
      </c>
      <c r="D1701" s="1">
        <v>41639</v>
      </c>
      <c r="E1701" t="s">
        <v>264</v>
      </c>
      <c r="G1701" t="s">
        <v>167</v>
      </c>
      <c r="H1701" t="s">
        <v>62</v>
      </c>
      <c r="I1701" t="str">
        <f>"45202"</f>
        <v>45202</v>
      </c>
      <c r="J1701" t="s">
        <v>22</v>
      </c>
      <c r="K1701" t="s">
        <v>23</v>
      </c>
      <c r="L1701" s="2">
        <v>2248225</v>
      </c>
      <c r="M1701" s="2">
        <v>240583</v>
      </c>
      <c r="N1701" s="2">
        <v>0</v>
      </c>
      <c r="O1701" s="2">
        <v>111837</v>
      </c>
      <c r="P1701" t="s">
        <v>24</v>
      </c>
      <c r="Q1701" t="s">
        <v>24</v>
      </c>
    </row>
    <row r="1702" spans="1:17" x14ac:dyDescent="0.25">
      <c r="A1702" t="s">
        <v>1650</v>
      </c>
      <c r="B1702" t="s">
        <v>1651</v>
      </c>
      <c r="C1702" s="1">
        <v>41456</v>
      </c>
      <c r="D1702" s="1">
        <v>41820</v>
      </c>
      <c r="E1702" t="s">
        <v>1652</v>
      </c>
      <c r="G1702" t="s">
        <v>20</v>
      </c>
      <c r="H1702" t="s">
        <v>21</v>
      </c>
      <c r="I1702" t="str">
        <f>"46204"</f>
        <v>46204</v>
      </c>
      <c r="J1702" t="s">
        <v>63</v>
      </c>
      <c r="K1702" t="s">
        <v>79</v>
      </c>
      <c r="L1702" s="2">
        <v>2247884</v>
      </c>
      <c r="M1702" s="2">
        <v>1332759</v>
      </c>
      <c r="N1702" s="2">
        <v>436752</v>
      </c>
      <c r="O1702" s="2">
        <v>1859514</v>
      </c>
      <c r="P1702" s="2">
        <v>371514</v>
      </c>
      <c r="Q1702" s="2">
        <v>19413</v>
      </c>
    </row>
    <row r="1703" spans="1:17" x14ac:dyDescent="0.25">
      <c r="A1703" t="s">
        <v>5920</v>
      </c>
      <c r="B1703" t="s">
        <v>5921</v>
      </c>
      <c r="C1703" s="1">
        <v>41275</v>
      </c>
      <c r="D1703" s="1">
        <v>41639</v>
      </c>
      <c r="E1703" t="s">
        <v>5922</v>
      </c>
      <c r="G1703" t="s">
        <v>432</v>
      </c>
      <c r="H1703" t="s">
        <v>62</v>
      </c>
      <c r="I1703" t="str">
        <f>"43528"</f>
        <v>43528</v>
      </c>
      <c r="J1703" t="s">
        <v>22</v>
      </c>
      <c r="K1703" t="s">
        <v>23</v>
      </c>
      <c r="L1703" s="2">
        <v>2247624</v>
      </c>
      <c r="M1703" s="2">
        <v>963249</v>
      </c>
      <c r="N1703" s="2">
        <v>60000</v>
      </c>
      <c r="O1703" s="2">
        <v>61233</v>
      </c>
      <c r="P1703" t="s">
        <v>24</v>
      </c>
      <c r="Q1703" t="s">
        <v>24</v>
      </c>
    </row>
    <row r="1704" spans="1:17" x14ac:dyDescent="0.25">
      <c r="A1704" t="s">
        <v>3158</v>
      </c>
      <c r="B1704" t="s">
        <v>3159</v>
      </c>
      <c r="E1704" t="s">
        <v>3160</v>
      </c>
      <c r="G1704" t="s">
        <v>1386</v>
      </c>
      <c r="H1704" t="s">
        <v>47</v>
      </c>
      <c r="I1704" t="str">
        <f>"48503"</f>
        <v>48503</v>
      </c>
      <c r="J1704" t="s">
        <v>3161</v>
      </c>
      <c r="K1704" t="s">
        <v>23</v>
      </c>
      <c r="L1704" s="2">
        <v>2241829</v>
      </c>
      <c r="M1704" s="2">
        <v>3047013</v>
      </c>
      <c r="N1704" s="2">
        <v>0</v>
      </c>
      <c r="O1704" s="2">
        <v>1808666</v>
      </c>
      <c r="P1704" s="2">
        <v>186550</v>
      </c>
      <c r="Q1704" t="s">
        <v>24</v>
      </c>
    </row>
    <row r="1705" spans="1:17" x14ac:dyDescent="0.25">
      <c r="A1705" t="s">
        <v>3065</v>
      </c>
      <c r="B1705" t="s">
        <v>3066</v>
      </c>
      <c r="C1705" s="1">
        <v>41426</v>
      </c>
      <c r="D1705" s="1">
        <v>41790</v>
      </c>
      <c r="E1705" t="s">
        <v>53</v>
      </c>
      <c r="G1705" t="s">
        <v>28</v>
      </c>
      <c r="H1705" t="s">
        <v>29</v>
      </c>
      <c r="I1705" t="str">
        <f>"60603"</f>
        <v>60603</v>
      </c>
      <c r="J1705" t="s">
        <v>22</v>
      </c>
      <c r="K1705" t="s">
        <v>23</v>
      </c>
      <c r="L1705" s="2">
        <v>2241564</v>
      </c>
      <c r="M1705" s="2">
        <v>774269</v>
      </c>
      <c r="N1705" s="2">
        <v>0</v>
      </c>
      <c r="O1705" s="2">
        <v>125466</v>
      </c>
      <c r="P1705" t="s">
        <v>24</v>
      </c>
      <c r="Q1705" t="s">
        <v>24</v>
      </c>
    </row>
    <row r="1706" spans="1:17" x14ac:dyDescent="0.25">
      <c r="A1706" t="s">
        <v>5900</v>
      </c>
      <c r="B1706" t="s">
        <v>5901</v>
      </c>
      <c r="C1706" s="1">
        <v>41275</v>
      </c>
      <c r="D1706" s="1">
        <v>41639</v>
      </c>
      <c r="E1706" t="s">
        <v>5902</v>
      </c>
      <c r="G1706" t="s">
        <v>143</v>
      </c>
      <c r="H1706" t="s">
        <v>47</v>
      </c>
      <c r="I1706" t="str">
        <f>"48209"</f>
        <v>48209</v>
      </c>
      <c r="J1706" t="s">
        <v>22</v>
      </c>
      <c r="K1706" t="s">
        <v>23</v>
      </c>
      <c r="L1706" s="2">
        <v>2239003</v>
      </c>
      <c r="M1706" s="2">
        <v>1317284</v>
      </c>
      <c r="N1706" s="2">
        <v>0</v>
      </c>
      <c r="O1706" s="2">
        <v>137761</v>
      </c>
      <c r="P1706" t="s">
        <v>24</v>
      </c>
      <c r="Q1706" t="s">
        <v>24</v>
      </c>
    </row>
    <row r="1707" spans="1:17" x14ac:dyDescent="0.25">
      <c r="A1707" t="s">
        <v>3889</v>
      </c>
      <c r="B1707" t="s">
        <v>3890</v>
      </c>
      <c r="C1707" s="1">
        <v>41275</v>
      </c>
      <c r="D1707" s="1">
        <v>41639</v>
      </c>
      <c r="E1707" t="s">
        <v>1342</v>
      </c>
      <c r="G1707" t="s">
        <v>77</v>
      </c>
      <c r="H1707" t="s">
        <v>78</v>
      </c>
      <c r="I1707" t="str">
        <f>"40232"</f>
        <v>40232</v>
      </c>
      <c r="J1707" t="s">
        <v>22</v>
      </c>
      <c r="K1707" t="s">
        <v>23</v>
      </c>
      <c r="L1707" s="2">
        <v>2236481</v>
      </c>
      <c r="M1707" s="2">
        <v>3351617</v>
      </c>
      <c r="N1707" s="2">
        <v>0</v>
      </c>
      <c r="O1707" s="2">
        <v>138376</v>
      </c>
      <c r="P1707" t="s">
        <v>24</v>
      </c>
      <c r="Q1707" t="s">
        <v>24</v>
      </c>
    </row>
    <row r="1708" spans="1:17" x14ac:dyDescent="0.25">
      <c r="A1708" t="s">
        <v>1727</v>
      </c>
      <c r="B1708" t="s">
        <v>1728</v>
      </c>
      <c r="C1708" s="1">
        <v>41275</v>
      </c>
      <c r="D1708" s="1">
        <v>41639</v>
      </c>
      <c r="E1708" t="s">
        <v>1729</v>
      </c>
      <c r="G1708" t="s">
        <v>1730</v>
      </c>
      <c r="H1708" t="s">
        <v>29</v>
      </c>
      <c r="I1708" t="str">
        <f>"61265"</f>
        <v>61265</v>
      </c>
      <c r="J1708" t="s">
        <v>22</v>
      </c>
      <c r="K1708" t="s">
        <v>23</v>
      </c>
      <c r="L1708" s="2">
        <v>2236302</v>
      </c>
      <c r="M1708" s="2">
        <v>167733</v>
      </c>
      <c r="N1708" s="2">
        <v>0</v>
      </c>
      <c r="O1708" s="2">
        <v>33789</v>
      </c>
      <c r="P1708" t="s">
        <v>24</v>
      </c>
      <c r="Q1708" t="s">
        <v>24</v>
      </c>
    </row>
    <row r="1709" spans="1:17" x14ac:dyDescent="0.25">
      <c r="A1709" t="s">
        <v>1047</v>
      </c>
      <c r="B1709" t="s">
        <v>1048</v>
      </c>
      <c r="C1709" s="1">
        <v>41275</v>
      </c>
      <c r="D1709" s="1">
        <v>41639</v>
      </c>
      <c r="E1709" t="s">
        <v>1049</v>
      </c>
      <c r="G1709" t="s">
        <v>1050</v>
      </c>
      <c r="H1709" t="s">
        <v>47</v>
      </c>
      <c r="I1709" t="str">
        <f>"48025"</f>
        <v>48025</v>
      </c>
      <c r="J1709" t="s">
        <v>22</v>
      </c>
      <c r="K1709" t="s">
        <v>23</v>
      </c>
      <c r="L1709" s="2">
        <v>2234777</v>
      </c>
      <c r="M1709" s="2">
        <v>177547</v>
      </c>
      <c r="N1709" s="2">
        <v>0</v>
      </c>
      <c r="O1709" s="2">
        <v>95120</v>
      </c>
      <c r="P1709" t="s">
        <v>24</v>
      </c>
      <c r="Q1709" t="s">
        <v>24</v>
      </c>
    </row>
    <row r="1710" spans="1:17" x14ac:dyDescent="0.25">
      <c r="A1710" t="s">
        <v>7122</v>
      </c>
      <c r="B1710" t="s">
        <v>7123</v>
      </c>
      <c r="C1710" s="1">
        <v>41275</v>
      </c>
      <c r="D1710" s="1">
        <v>41639</v>
      </c>
      <c r="E1710" t="s">
        <v>7124</v>
      </c>
      <c r="G1710" t="s">
        <v>7125</v>
      </c>
      <c r="H1710" t="s">
        <v>29</v>
      </c>
      <c r="I1710" t="str">
        <f>"62025"</f>
        <v>62025</v>
      </c>
      <c r="J1710" t="s">
        <v>22</v>
      </c>
      <c r="K1710" t="s">
        <v>30</v>
      </c>
      <c r="L1710" s="2">
        <v>2232909</v>
      </c>
      <c r="M1710" s="2">
        <v>2633980</v>
      </c>
      <c r="N1710" s="2">
        <v>0</v>
      </c>
      <c r="O1710" s="2">
        <v>140114</v>
      </c>
      <c r="P1710" t="s">
        <v>24</v>
      </c>
      <c r="Q1710" t="s">
        <v>24</v>
      </c>
    </row>
    <row r="1711" spans="1:17" x14ac:dyDescent="0.25">
      <c r="A1711" t="s">
        <v>6625</v>
      </c>
      <c r="B1711" t="s">
        <v>6626</v>
      </c>
      <c r="C1711" s="1">
        <v>41275</v>
      </c>
      <c r="D1711" s="1">
        <v>41639</v>
      </c>
      <c r="E1711" t="s">
        <v>6627</v>
      </c>
      <c r="G1711" t="s">
        <v>1111</v>
      </c>
      <c r="H1711" t="s">
        <v>47</v>
      </c>
      <c r="I1711" t="str">
        <f>"48302"</f>
        <v>48302</v>
      </c>
      <c r="J1711" t="s">
        <v>22</v>
      </c>
      <c r="K1711" t="s">
        <v>91</v>
      </c>
      <c r="L1711" s="2">
        <v>2229669</v>
      </c>
      <c r="M1711" s="2">
        <v>1165857</v>
      </c>
      <c r="N1711" s="2">
        <v>605</v>
      </c>
      <c r="O1711" s="2">
        <v>134470</v>
      </c>
      <c r="P1711" t="s">
        <v>24</v>
      </c>
      <c r="Q1711" t="s">
        <v>24</v>
      </c>
    </row>
    <row r="1712" spans="1:17" x14ac:dyDescent="0.25">
      <c r="A1712" t="s">
        <v>4930</v>
      </c>
      <c r="B1712" t="s">
        <v>4931</v>
      </c>
      <c r="C1712" s="1">
        <v>41275</v>
      </c>
      <c r="D1712" s="1">
        <v>41639</v>
      </c>
      <c r="E1712" t="s">
        <v>1708</v>
      </c>
      <c r="G1712" t="s">
        <v>28</v>
      </c>
      <c r="H1712" t="s">
        <v>29</v>
      </c>
      <c r="I1712" t="str">
        <f>"60606"</f>
        <v>60606</v>
      </c>
      <c r="J1712" t="s">
        <v>22</v>
      </c>
      <c r="K1712" t="s">
        <v>23</v>
      </c>
      <c r="L1712" s="2">
        <v>2228374</v>
      </c>
      <c r="M1712" s="2">
        <v>303375</v>
      </c>
      <c r="N1712" s="2">
        <v>31662</v>
      </c>
      <c r="O1712" s="2">
        <v>256918</v>
      </c>
      <c r="P1712" t="s">
        <v>24</v>
      </c>
      <c r="Q1712" t="s">
        <v>24</v>
      </c>
    </row>
    <row r="1713" spans="1:17" x14ac:dyDescent="0.25">
      <c r="A1713" t="s">
        <v>4235</v>
      </c>
      <c r="B1713" t="s">
        <v>4236</v>
      </c>
      <c r="C1713" s="1">
        <v>41000</v>
      </c>
      <c r="D1713" s="1">
        <v>41364</v>
      </c>
      <c r="E1713" t="s">
        <v>50</v>
      </c>
      <c r="G1713" t="s">
        <v>28</v>
      </c>
      <c r="H1713" t="s">
        <v>29</v>
      </c>
      <c r="I1713" t="str">
        <f>"60603"</f>
        <v>60603</v>
      </c>
      <c r="J1713" t="s">
        <v>22</v>
      </c>
      <c r="K1713" t="s">
        <v>30</v>
      </c>
      <c r="L1713" s="2">
        <v>2227216</v>
      </c>
      <c r="M1713" s="2">
        <v>897513</v>
      </c>
      <c r="N1713" s="2">
        <v>0</v>
      </c>
      <c r="O1713" s="2">
        <v>131307</v>
      </c>
      <c r="P1713" t="s">
        <v>24</v>
      </c>
      <c r="Q1713" t="s">
        <v>24</v>
      </c>
    </row>
    <row r="1714" spans="1:17" x14ac:dyDescent="0.25">
      <c r="A1714" t="s">
        <v>2075</v>
      </c>
      <c r="B1714" t="s">
        <v>2076</v>
      </c>
      <c r="C1714" s="1">
        <v>41275</v>
      </c>
      <c r="D1714" s="1">
        <v>41639</v>
      </c>
      <c r="E1714" t="s">
        <v>2077</v>
      </c>
      <c r="G1714" t="s">
        <v>337</v>
      </c>
      <c r="H1714" t="s">
        <v>62</v>
      </c>
      <c r="I1714" t="str">
        <f>"44114"</f>
        <v>44114</v>
      </c>
      <c r="J1714" t="s">
        <v>22</v>
      </c>
      <c r="K1714" t="s">
        <v>91</v>
      </c>
      <c r="L1714" s="2">
        <v>2226804</v>
      </c>
      <c r="M1714" s="2">
        <v>257017</v>
      </c>
      <c r="N1714" s="2">
        <v>0</v>
      </c>
      <c r="O1714" s="2">
        <v>115902</v>
      </c>
      <c r="P1714" t="s">
        <v>24</v>
      </c>
      <c r="Q1714" t="s">
        <v>24</v>
      </c>
    </row>
    <row r="1715" spans="1:17" x14ac:dyDescent="0.25">
      <c r="A1715" t="s">
        <v>1854</v>
      </c>
      <c r="B1715" t="s">
        <v>1855</v>
      </c>
      <c r="C1715" s="1">
        <v>41275</v>
      </c>
      <c r="D1715" s="1">
        <v>41639</v>
      </c>
      <c r="E1715" t="s">
        <v>1856</v>
      </c>
      <c r="G1715" t="s">
        <v>751</v>
      </c>
      <c r="H1715" t="s">
        <v>62</v>
      </c>
      <c r="I1715" t="str">
        <f>"44144"</f>
        <v>44144</v>
      </c>
      <c r="J1715" t="s">
        <v>22</v>
      </c>
      <c r="K1715" t="s">
        <v>23</v>
      </c>
      <c r="L1715" s="2">
        <v>2224379</v>
      </c>
      <c r="M1715" s="2">
        <v>12651458</v>
      </c>
      <c r="N1715" s="2">
        <v>0</v>
      </c>
      <c r="O1715" s="2">
        <v>7636625</v>
      </c>
      <c r="P1715" t="s">
        <v>24</v>
      </c>
      <c r="Q1715" t="s">
        <v>24</v>
      </c>
    </row>
    <row r="1716" spans="1:17" x14ac:dyDescent="0.25">
      <c r="A1716" t="s">
        <v>5604</v>
      </c>
      <c r="B1716" t="s">
        <v>5605</v>
      </c>
      <c r="C1716" s="1">
        <v>41275</v>
      </c>
      <c r="D1716" s="1">
        <v>41639</v>
      </c>
      <c r="E1716" t="s">
        <v>5606</v>
      </c>
      <c r="G1716" t="s">
        <v>20</v>
      </c>
      <c r="H1716" t="s">
        <v>21</v>
      </c>
      <c r="I1716" t="str">
        <f>"46250"</f>
        <v>46250</v>
      </c>
      <c r="J1716" t="s">
        <v>22</v>
      </c>
      <c r="K1716" t="s">
        <v>23</v>
      </c>
      <c r="L1716" s="2">
        <v>2223331</v>
      </c>
      <c r="M1716" s="2">
        <v>7167370</v>
      </c>
      <c r="N1716" s="2">
        <v>112342</v>
      </c>
      <c r="O1716" s="2">
        <v>120831</v>
      </c>
      <c r="P1716" t="s">
        <v>24</v>
      </c>
      <c r="Q1716" t="s">
        <v>24</v>
      </c>
    </row>
    <row r="1717" spans="1:17" x14ac:dyDescent="0.25">
      <c r="A1717" t="s">
        <v>7535</v>
      </c>
      <c r="B1717" t="s">
        <v>7536</v>
      </c>
      <c r="C1717" s="1">
        <v>41275</v>
      </c>
      <c r="D1717" s="1">
        <v>41639</v>
      </c>
      <c r="E1717" t="s">
        <v>7537</v>
      </c>
      <c r="G1717" t="s">
        <v>684</v>
      </c>
      <c r="H1717" t="s">
        <v>21</v>
      </c>
      <c r="I1717" t="str">
        <f>"47903"</f>
        <v>47903</v>
      </c>
      <c r="J1717" t="s">
        <v>22</v>
      </c>
      <c r="K1717" t="s">
        <v>30</v>
      </c>
      <c r="L1717" s="2">
        <v>2222643</v>
      </c>
      <c r="M1717" s="2">
        <v>4180960</v>
      </c>
      <c r="N1717" s="2">
        <v>26880</v>
      </c>
      <c r="O1717" s="2">
        <v>130698</v>
      </c>
      <c r="P1717" t="s">
        <v>24</v>
      </c>
      <c r="Q1717" t="s">
        <v>24</v>
      </c>
    </row>
    <row r="1718" spans="1:17" x14ac:dyDescent="0.25">
      <c r="A1718" t="s">
        <v>5716</v>
      </c>
      <c r="B1718" t="s">
        <v>5717</v>
      </c>
      <c r="C1718" s="1">
        <v>41365</v>
      </c>
      <c r="D1718" s="1">
        <v>41729</v>
      </c>
      <c r="E1718" t="s">
        <v>5718</v>
      </c>
      <c r="G1718" t="s">
        <v>5719</v>
      </c>
      <c r="H1718" t="s">
        <v>21</v>
      </c>
      <c r="I1718" t="str">
        <f>"46530"</f>
        <v>46530</v>
      </c>
      <c r="J1718" t="s">
        <v>22</v>
      </c>
      <c r="K1718" t="s">
        <v>23</v>
      </c>
      <c r="L1718" s="2">
        <v>2219033</v>
      </c>
      <c r="M1718" s="2">
        <v>663637</v>
      </c>
      <c r="N1718" s="2">
        <v>0</v>
      </c>
      <c r="O1718" s="2">
        <v>153563</v>
      </c>
      <c r="P1718" t="s">
        <v>24</v>
      </c>
      <c r="Q1718" t="s">
        <v>24</v>
      </c>
    </row>
    <row r="1719" spans="1:17" x14ac:dyDescent="0.25">
      <c r="A1719" t="s">
        <v>2177</v>
      </c>
      <c r="B1719" t="s">
        <v>2178</v>
      </c>
      <c r="C1719" s="1">
        <v>41456</v>
      </c>
      <c r="D1719" s="1">
        <v>41820</v>
      </c>
      <c r="E1719" t="s">
        <v>2179</v>
      </c>
      <c r="G1719" t="s">
        <v>1560</v>
      </c>
      <c r="H1719" t="s">
        <v>21</v>
      </c>
      <c r="I1719" t="str">
        <f>"46624"</f>
        <v>46624</v>
      </c>
      <c r="J1719" t="s">
        <v>63</v>
      </c>
      <c r="K1719" t="s">
        <v>23</v>
      </c>
      <c r="L1719" s="2">
        <v>2217268</v>
      </c>
      <c r="M1719" s="2">
        <v>582820</v>
      </c>
      <c r="N1719" s="2">
        <v>722150</v>
      </c>
      <c r="O1719" s="2">
        <v>155975</v>
      </c>
      <c r="P1719" s="2">
        <v>3414</v>
      </c>
      <c r="Q1719" s="2">
        <v>0</v>
      </c>
    </row>
    <row r="1720" spans="1:17" x14ac:dyDescent="0.25">
      <c r="A1720" t="s">
        <v>4419</v>
      </c>
      <c r="B1720" t="s">
        <v>4420</v>
      </c>
      <c r="C1720" s="1">
        <v>41275</v>
      </c>
      <c r="D1720" s="1">
        <v>41639</v>
      </c>
      <c r="E1720" t="s">
        <v>4421</v>
      </c>
      <c r="G1720" t="s">
        <v>28</v>
      </c>
      <c r="H1720" t="s">
        <v>29</v>
      </c>
      <c r="I1720" t="str">
        <f>"60610"</f>
        <v>60610</v>
      </c>
      <c r="J1720" t="s">
        <v>22</v>
      </c>
      <c r="K1720" t="s">
        <v>30</v>
      </c>
      <c r="L1720" s="2">
        <v>2214320</v>
      </c>
      <c r="M1720" s="2">
        <v>784236</v>
      </c>
      <c r="N1720" s="2">
        <v>3030</v>
      </c>
      <c r="O1720" s="2">
        <v>138313</v>
      </c>
      <c r="P1720" t="s">
        <v>24</v>
      </c>
      <c r="Q1720" t="s">
        <v>24</v>
      </c>
    </row>
    <row r="1721" spans="1:17" x14ac:dyDescent="0.25">
      <c r="A1721" t="s">
        <v>949</v>
      </c>
      <c r="B1721" t="s">
        <v>950</v>
      </c>
      <c r="C1721" s="1">
        <v>41275</v>
      </c>
      <c r="D1721" s="1">
        <v>41639</v>
      </c>
      <c r="E1721" t="s">
        <v>951</v>
      </c>
      <c r="G1721" t="s">
        <v>865</v>
      </c>
      <c r="H1721" t="s">
        <v>29</v>
      </c>
      <c r="I1721" t="str">
        <f>"60035"</f>
        <v>60035</v>
      </c>
      <c r="J1721" t="s">
        <v>22</v>
      </c>
      <c r="K1721" t="s">
        <v>30</v>
      </c>
      <c r="L1721" s="2">
        <v>2213333</v>
      </c>
      <c r="M1721" s="2">
        <v>334773</v>
      </c>
      <c r="N1721" s="2">
        <v>0</v>
      </c>
      <c r="O1721" s="2">
        <v>298019</v>
      </c>
      <c r="P1721" t="s">
        <v>24</v>
      </c>
      <c r="Q1721" t="s">
        <v>24</v>
      </c>
    </row>
    <row r="1722" spans="1:17" x14ac:dyDescent="0.25">
      <c r="A1722" t="s">
        <v>1363</v>
      </c>
      <c r="B1722" t="s">
        <v>1364</v>
      </c>
      <c r="C1722" s="1">
        <v>41275</v>
      </c>
      <c r="D1722" s="1">
        <v>41639</v>
      </c>
      <c r="E1722" t="s">
        <v>1365</v>
      </c>
      <c r="G1722" t="s">
        <v>1010</v>
      </c>
      <c r="H1722" t="s">
        <v>47</v>
      </c>
      <c r="I1722" t="str">
        <f>"49684"</f>
        <v>49684</v>
      </c>
      <c r="J1722" t="s">
        <v>22</v>
      </c>
      <c r="K1722" t="s">
        <v>30</v>
      </c>
      <c r="L1722" s="2">
        <v>2209110</v>
      </c>
      <c r="M1722" s="2">
        <v>61903</v>
      </c>
      <c r="N1722" s="2">
        <v>0</v>
      </c>
      <c r="O1722" s="2">
        <v>104464</v>
      </c>
      <c r="P1722" t="s">
        <v>24</v>
      </c>
      <c r="Q1722" t="s">
        <v>24</v>
      </c>
    </row>
    <row r="1723" spans="1:17" x14ac:dyDescent="0.25">
      <c r="A1723" t="s">
        <v>2967</v>
      </c>
      <c r="B1723" t="s">
        <v>2968</v>
      </c>
      <c r="C1723" s="1">
        <v>41275</v>
      </c>
      <c r="D1723" s="1">
        <v>41639</v>
      </c>
      <c r="E1723" t="s">
        <v>2969</v>
      </c>
      <c r="G1723" t="s">
        <v>229</v>
      </c>
      <c r="H1723" t="s">
        <v>29</v>
      </c>
      <c r="I1723" t="str">
        <f>"61614"</f>
        <v>61614</v>
      </c>
      <c r="J1723" t="s">
        <v>22</v>
      </c>
      <c r="K1723" t="s">
        <v>23</v>
      </c>
      <c r="L1723" s="2">
        <v>2205688</v>
      </c>
      <c r="M1723" s="2">
        <v>596965</v>
      </c>
      <c r="N1723" s="2">
        <v>0</v>
      </c>
      <c r="O1723" s="2">
        <v>625053</v>
      </c>
      <c r="P1723" t="s">
        <v>24</v>
      </c>
      <c r="Q1723" t="s">
        <v>24</v>
      </c>
    </row>
    <row r="1724" spans="1:17" x14ac:dyDescent="0.25">
      <c r="A1724" t="s">
        <v>7317</v>
      </c>
      <c r="B1724" t="s">
        <v>7318</v>
      </c>
      <c r="C1724" s="1">
        <v>41275</v>
      </c>
      <c r="D1724" s="1">
        <v>41639</v>
      </c>
      <c r="E1724" t="s">
        <v>7319</v>
      </c>
      <c r="G1724" t="s">
        <v>77</v>
      </c>
      <c r="H1724" t="s">
        <v>78</v>
      </c>
      <c r="I1724" t="str">
        <f>"40222"</f>
        <v>40222</v>
      </c>
      <c r="J1724" t="s">
        <v>22</v>
      </c>
      <c r="K1724" t="s">
        <v>30</v>
      </c>
      <c r="L1724" s="2">
        <v>2204827</v>
      </c>
      <c r="M1724" s="2">
        <v>2966505</v>
      </c>
      <c r="N1724" s="2">
        <v>0</v>
      </c>
      <c r="O1724" s="2">
        <v>116719</v>
      </c>
      <c r="P1724" t="s">
        <v>24</v>
      </c>
      <c r="Q1724" t="s">
        <v>24</v>
      </c>
    </row>
    <row r="1725" spans="1:17" x14ac:dyDescent="0.25">
      <c r="A1725" t="s">
        <v>429</v>
      </c>
      <c r="B1725" t="s">
        <v>430</v>
      </c>
      <c r="C1725" s="1">
        <v>41275</v>
      </c>
      <c r="D1725" s="1">
        <v>41639</v>
      </c>
      <c r="E1725" t="s">
        <v>431</v>
      </c>
      <c r="G1725" t="s">
        <v>432</v>
      </c>
      <c r="H1725" t="s">
        <v>47</v>
      </c>
      <c r="I1725" t="str">
        <f>"49422"</f>
        <v>49422</v>
      </c>
      <c r="J1725" t="s">
        <v>22</v>
      </c>
      <c r="K1725" t="s">
        <v>23</v>
      </c>
      <c r="L1725" s="2">
        <v>2199639</v>
      </c>
      <c r="M1725" s="2">
        <v>1582129</v>
      </c>
      <c r="N1725" s="2">
        <v>0</v>
      </c>
      <c r="O1725" s="2">
        <v>165047</v>
      </c>
      <c r="P1725" t="s">
        <v>24</v>
      </c>
      <c r="Q1725" t="s">
        <v>24</v>
      </c>
    </row>
    <row r="1726" spans="1:17" x14ac:dyDescent="0.25">
      <c r="A1726" t="s">
        <v>6201</v>
      </c>
      <c r="B1726" t="s">
        <v>6202</v>
      </c>
      <c r="C1726" s="1">
        <v>41275</v>
      </c>
      <c r="D1726" s="1">
        <v>41639</v>
      </c>
      <c r="E1726" t="s">
        <v>6203</v>
      </c>
      <c r="G1726" t="s">
        <v>517</v>
      </c>
      <c r="H1726" t="s">
        <v>62</v>
      </c>
      <c r="I1726" t="str">
        <f>"45458"</f>
        <v>45458</v>
      </c>
      <c r="J1726" t="s">
        <v>22</v>
      </c>
      <c r="K1726" t="s">
        <v>23</v>
      </c>
      <c r="L1726" s="2">
        <v>2197638</v>
      </c>
      <c r="M1726" s="2">
        <v>2057797</v>
      </c>
      <c r="N1726" s="2">
        <v>0</v>
      </c>
      <c r="O1726" s="2">
        <v>124579</v>
      </c>
      <c r="P1726" t="s">
        <v>24</v>
      </c>
      <c r="Q1726" t="s">
        <v>24</v>
      </c>
    </row>
    <row r="1727" spans="1:17" x14ac:dyDescent="0.25">
      <c r="A1727" t="s">
        <v>4428</v>
      </c>
      <c r="B1727" t="s">
        <v>4429</v>
      </c>
      <c r="C1727" s="1">
        <v>41275</v>
      </c>
      <c r="D1727" s="1">
        <v>41639</v>
      </c>
      <c r="E1727" t="s">
        <v>4430</v>
      </c>
      <c r="G1727" t="s">
        <v>3013</v>
      </c>
      <c r="H1727" t="s">
        <v>78</v>
      </c>
      <c r="I1727" t="str">
        <f>"40004"</f>
        <v>40004</v>
      </c>
      <c r="J1727" t="s">
        <v>22</v>
      </c>
      <c r="K1727" t="s">
        <v>23</v>
      </c>
      <c r="L1727" s="2">
        <v>2195311</v>
      </c>
      <c r="M1727" s="2">
        <v>287179</v>
      </c>
      <c r="N1727" s="2">
        <v>0</v>
      </c>
      <c r="O1727" s="2">
        <v>335474</v>
      </c>
      <c r="P1727" t="s">
        <v>24</v>
      </c>
      <c r="Q1727" t="s">
        <v>24</v>
      </c>
    </row>
    <row r="1728" spans="1:17" x14ac:dyDescent="0.25">
      <c r="A1728" t="s">
        <v>4227</v>
      </c>
      <c r="B1728" t="s">
        <v>4228</v>
      </c>
      <c r="C1728" s="1">
        <v>41275</v>
      </c>
      <c r="D1728" s="1">
        <v>41639</v>
      </c>
      <c r="E1728" t="s">
        <v>4229</v>
      </c>
      <c r="G1728" t="s">
        <v>1149</v>
      </c>
      <c r="H1728" t="s">
        <v>62</v>
      </c>
      <c r="I1728" t="str">
        <f>"44221"</f>
        <v>44221</v>
      </c>
      <c r="J1728" t="s">
        <v>22</v>
      </c>
      <c r="K1728" t="s">
        <v>23</v>
      </c>
      <c r="L1728" s="2">
        <v>2191632</v>
      </c>
      <c r="M1728" s="2">
        <v>472387</v>
      </c>
      <c r="N1728" s="2">
        <v>0</v>
      </c>
      <c r="O1728" s="2">
        <v>138897</v>
      </c>
      <c r="P1728" t="s">
        <v>24</v>
      </c>
      <c r="Q1728" t="s">
        <v>24</v>
      </c>
    </row>
    <row r="1729" spans="1:17" x14ac:dyDescent="0.25">
      <c r="A1729" t="s">
        <v>3963</v>
      </c>
      <c r="B1729" t="s">
        <v>3964</v>
      </c>
      <c r="C1729" s="1">
        <v>41091</v>
      </c>
      <c r="D1729" s="1">
        <v>41455</v>
      </c>
      <c r="E1729" t="s">
        <v>3965</v>
      </c>
      <c r="G1729" t="s">
        <v>3966</v>
      </c>
      <c r="H1729" t="s">
        <v>62</v>
      </c>
      <c r="I1729" t="str">
        <f>"44672"</f>
        <v>44672</v>
      </c>
      <c r="J1729" t="s">
        <v>63</v>
      </c>
      <c r="K1729" t="s">
        <v>64</v>
      </c>
      <c r="L1729" s="2">
        <v>2190221</v>
      </c>
      <c r="M1729" s="2">
        <v>154170</v>
      </c>
      <c r="N1729" s="2">
        <v>0</v>
      </c>
      <c r="O1729" s="2">
        <v>94679</v>
      </c>
      <c r="P1729" s="2">
        <v>3437</v>
      </c>
      <c r="Q1729" s="2">
        <v>0</v>
      </c>
    </row>
    <row r="1730" spans="1:17" x14ac:dyDescent="0.25">
      <c r="A1730" t="s">
        <v>5459</v>
      </c>
      <c r="B1730" t="s">
        <v>5460</v>
      </c>
      <c r="C1730" s="1">
        <v>41275</v>
      </c>
      <c r="D1730" s="1">
        <v>41639</v>
      </c>
      <c r="E1730" t="s">
        <v>5461</v>
      </c>
      <c r="G1730" t="s">
        <v>751</v>
      </c>
      <c r="H1730" t="s">
        <v>62</v>
      </c>
      <c r="I1730" t="str">
        <f>"44144"</f>
        <v>44144</v>
      </c>
      <c r="J1730" t="s">
        <v>22</v>
      </c>
      <c r="K1730" t="s">
        <v>30</v>
      </c>
      <c r="L1730" s="2">
        <v>2188417</v>
      </c>
      <c r="M1730" s="2">
        <v>1070745</v>
      </c>
      <c r="N1730" s="2">
        <v>0</v>
      </c>
      <c r="O1730" s="2">
        <v>107994</v>
      </c>
      <c r="P1730" t="s">
        <v>24</v>
      </c>
      <c r="Q1730" t="s">
        <v>24</v>
      </c>
    </row>
    <row r="1731" spans="1:17" x14ac:dyDescent="0.25">
      <c r="A1731" t="s">
        <v>2535</v>
      </c>
      <c r="B1731" t="s">
        <v>2536</v>
      </c>
      <c r="C1731" s="1">
        <v>41275</v>
      </c>
      <c r="D1731" s="1">
        <v>41639</v>
      </c>
      <c r="E1731" t="s">
        <v>1496</v>
      </c>
      <c r="G1731" t="s">
        <v>167</v>
      </c>
      <c r="H1731" t="s">
        <v>62</v>
      </c>
      <c r="I1731" t="str">
        <f>"45263"</f>
        <v>45263</v>
      </c>
      <c r="J1731" t="s">
        <v>22</v>
      </c>
      <c r="K1731" t="s">
        <v>23</v>
      </c>
      <c r="L1731" s="2">
        <v>2186489</v>
      </c>
      <c r="M1731" s="2">
        <v>464831</v>
      </c>
      <c r="N1731" s="2">
        <v>0</v>
      </c>
      <c r="O1731" s="2">
        <v>124683</v>
      </c>
      <c r="P1731" t="s">
        <v>24</v>
      </c>
      <c r="Q1731" t="s">
        <v>24</v>
      </c>
    </row>
    <row r="1732" spans="1:17" x14ac:dyDescent="0.25">
      <c r="A1732" t="s">
        <v>4162</v>
      </c>
      <c r="B1732" t="s">
        <v>4163</v>
      </c>
      <c r="C1732" s="1">
        <v>41275</v>
      </c>
      <c r="D1732" s="1">
        <v>41639</v>
      </c>
      <c r="E1732" t="s">
        <v>4164</v>
      </c>
      <c r="G1732" t="s">
        <v>1054</v>
      </c>
      <c r="H1732" t="s">
        <v>47</v>
      </c>
      <c r="I1732" t="str">
        <f>"48323"</f>
        <v>48323</v>
      </c>
      <c r="J1732" t="s">
        <v>22</v>
      </c>
      <c r="K1732" t="s">
        <v>30</v>
      </c>
      <c r="L1732" s="2">
        <v>2181480</v>
      </c>
      <c r="M1732" s="2">
        <v>342842</v>
      </c>
      <c r="N1732" s="2">
        <v>0</v>
      </c>
      <c r="O1732" s="2">
        <v>17334</v>
      </c>
      <c r="P1732" t="s">
        <v>24</v>
      </c>
      <c r="Q1732" t="s">
        <v>24</v>
      </c>
    </row>
    <row r="1733" spans="1:17" x14ac:dyDescent="0.25">
      <c r="A1733" t="s">
        <v>2626</v>
      </c>
      <c r="B1733" t="s">
        <v>2627</v>
      </c>
      <c r="C1733" s="1">
        <v>41275</v>
      </c>
      <c r="D1733" s="1">
        <v>41639</v>
      </c>
      <c r="E1733" t="s">
        <v>1856</v>
      </c>
      <c r="G1733" t="s">
        <v>751</v>
      </c>
      <c r="H1733" t="s">
        <v>62</v>
      </c>
      <c r="I1733" t="str">
        <f>"44144"</f>
        <v>44144</v>
      </c>
      <c r="J1733" t="s">
        <v>63</v>
      </c>
      <c r="K1733" t="s">
        <v>30</v>
      </c>
      <c r="L1733" s="2">
        <v>2178367</v>
      </c>
      <c r="M1733" s="2">
        <v>236309</v>
      </c>
      <c r="N1733" s="2">
        <v>0</v>
      </c>
      <c r="O1733" s="2">
        <v>117074</v>
      </c>
      <c r="P1733" s="2">
        <v>22116</v>
      </c>
      <c r="Q1733" t="s">
        <v>24</v>
      </c>
    </row>
    <row r="1734" spans="1:17" x14ac:dyDescent="0.25">
      <c r="A1734" t="s">
        <v>1632</v>
      </c>
      <c r="B1734" t="s">
        <v>1633</v>
      </c>
      <c r="C1734" s="1">
        <v>41091</v>
      </c>
      <c r="D1734" s="1">
        <v>41455</v>
      </c>
      <c r="E1734" t="s">
        <v>1535</v>
      </c>
      <c r="G1734" t="s">
        <v>41</v>
      </c>
      <c r="H1734" t="s">
        <v>42</v>
      </c>
      <c r="I1734" t="str">
        <f>"53201"</f>
        <v>53201</v>
      </c>
      <c r="J1734" t="s">
        <v>22</v>
      </c>
      <c r="K1734" t="s">
        <v>23</v>
      </c>
      <c r="L1734" s="2">
        <v>2176999</v>
      </c>
      <c r="M1734" s="2">
        <v>1495129</v>
      </c>
      <c r="N1734" s="2">
        <v>0</v>
      </c>
      <c r="O1734" s="2">
        <v>123027</v>
      </c>
      <c r="P1734" t="s">
        <v>24</v>
      </c>
      <c r="Q1734" t="s">
        <v>24</v>
      </c>
    </row>
    <row r="1735" spans="1:17" x14ac:dyDescent="0.25">
      <c r="A1735" t="s">
        <v>480</v>
      </c>
      <c r="B1735" t="s">
        <v>481</v>
      </c>
      <c r="C1735" s="1">
        <v>41275</v>
      </c>
      <c r="D1735" s="1">
        <v>41639</v>
      </c>
      <c r="E1735" t="s">
        <v>482</v>
      </c>
      <c r="G1735" t="s">
        <v>483</v>
      </c>
      <c r="H1735" t="s">
        <v>78</v>
      </c>
      <c r="I1735" t="str">
        <f>"41056"</f>
        <v>41056</v>
      </c>
      <c r="J1735" t="s">
        <v>22</v>
      </c>
      <c r="K1735" t="s">
        <v>23</v>
      </c>
      <c r="L1735" s="2">
        <v>2171854</v>
      </c>
      <c r="M1735" s="2">
        <v>566761</v>
      </c>
      <c r="N1735" s="2">
        <v>0</v>
      </c>
      <c r="O1735" s="2">
        <v>68833</v>
      </c>
      <c r="P1735" t="s">
        <v>24</v>
      </c>
      <c r="Q1735" t="s">
        <v>24</v>
      </c>
    </row>
    <row r="1736" spans="1:17" x14ac:dyDescent="0.25">
      <c r="A1736" t="s">
        <v>4702</v>
      </c>
      <c r="B1736" t="s">
        <v>4703</v>
      </c>
      <c r="C1736" s="1">
        <v>41365</v>
      </c>
      <c r="D1736" s="1">
        <v>41729</v>
      </c>
      <c r="E1736" t="s">
        <v>2737</v>
      </c>
      <c r="G1736" t="s">
        <v>4704</v>
      </c>
      <c r="H1736" t="s">
        <v>62</v>
      </c>
      <c r="I1736" t="str">
        <f>"44443"</f>
        <v>44443</v>
      </c>
      <c r="J1736" t="s">
        <v>22</v>
      </c>
      <c r="K1736" t="s">
        <v>23</v>
      </c>
      <c r="L1736" s="2">
        <v>2171594</v>
      </c>
      <c r="M1736" s="2">
        <v>1529382</v>
      </c>
      <c r="N1736" s="2">
        <v>0</v>
      </c>
      <c r="O1736" s="2">
        <v>118299</v>
      </c>
      <c r="P1736" t="s">
        <v>24</v>
      </c>
      <c r="Q1736" t="s">
        <v>24</v>
      </c>
    </row>
    <row r="1737" spans="1:17" x14ac:dyDescent="0.25">
      <c r="A1737" t="s">
        <v>442</v>
      </c>
      <c r="B1737" t="s">
        <v>443</v>
      </c>
      <c r="C1737" s="1">
        <v>41275</v>
      </c>
      <c r="D1737" s="1">
        <v>41639</v>
      </c>
      <c r="E1737" t="s">
        <v>444</v>
      </c>
      <c r="G1737" t="s">
        <v>445</v>
      </c>
      <c r="H1737" t="s">
        <v>29</v>
      </c>
      <c r="I1737" t="str">
        <f>"62260"</f>
        <v>62260</v>
      </c>
      <c r="J1737" t="s">
        <v>22</v>
      </c>
      <c r="K1737" t="s">
        <v>23</v>
      </c>
      <c r="L1737" s="2">
        <v>2170044</v>
      </c>
      <c r="M1737" s="2">
        <v>483907</v>
      </c>
      <c r="N1737" s="2">
        <v>0</v>
      </c>
      <c r="O1737" s="2">
        <v>132680</v>
      </c>
      <c r="P1737" t="s">
        <v>24</v>
      </c>
      <c r="Q1737" t="s">
        <v>24</v>
      </c>
    </row>
    <row r="1738" spans="1:17" x14ac:dyDescent="0.25">
      <c r="A1738" t="s">
        <v>4071</v>
      </c>
      <c r="B1738" t="s">
        <v>4072</v>
      </c>
      <c r="C1738" s="1">
        <v>41275</v>
      </c>
      <c r="D1738" s="1">
        <v>41639</v>
      </c>
      <c r="E1738" t="s">
        <v>4073</v>
      </c>
      <c r="G1738" t="s">
        <v>77</v>
      </c>
      <c r="H1738" t="s">
        <v>78</v>
      </c>
      <c r="I1738" t="str">
        <f>"40232"</f>
        <v>40232</v>
      </c>
      <c r="J1738" t="s">
        <v>22</v>
      </c>
      <c r="K1738" t="s">
        <v>23</v>
      </c>
      <c r="L1738" s="2">
        <v>2167660</v>
      </c>
      <c r="M1738" s="2">
        <v>467043</v>
      </c>
      <c r="N1738" s="2">
        <v>0</v>
      </c>
      <c r="O1738" s="2">
        <v>119633</v>
      </c>
      <c r="P1738" t="s">
        <v>24</v>
      </c>
      <c r="Q1738" t="s">
        <v>24</v>
      </c>
    </row>
    <row r="1739" spans="1:17" x14ac:dyDescent="0.25">
      <c r="A1739" t="s">
        <v>3301</v>
      </c>
      <c r="B1739" t="s">
        <v>3302</v>
      </c>
      <c r="C1739" s="1">
        <v>41275</v>
      </c>
      <c r="D1739" s="1">
        <v>41639</v>
      </c>
      <c r="E1739" t="s">
        <v>3303</v>
      </c>
      <c r="G1739" t="s">
        <v>337</v>
      </c>
      <c r="H1739" t="s">
        <v>62</v>
      </c>
      <c r="I1739" t="str">
        <f>"44114"</f>
        <v>44114</v>
      </c>
      <c r="J1739" t="s">
        <v>22</v>
      </c>
      <c r="K1739" t="s">
        <v>23</v>
      </c>
      <c r="L1739" s="2">
        <v>2164643</v>
      </c>
      <c r="M1739" s="2">
        <v>2886300</v>
      </c>
      <c r="N1739" s="2">
        <v>0</v>
      </c>
      <c r="O1739" s="2">
        <v>2576298</v>
      </c>
      <c r="P1739" t="s">
        <v>24</v>
      </c>
      <c r="Q1739" t="s">
        <v>24</v>
      </c>
    </row>
    <row r="1740" spans="1:17" x14ac:dyDescent="0.25">
      <c r="A1740" t="s">
        <v>6368</v>
      </c>
      <c r="B1740" t="s">
        <v>6369</v>
      </c>
      <c r="C1740" s="1">
        <v>41275</v>
      </c>
      <c r="D1740" s="1">
        <v>41639</v>
      </c>
      <c r="E1740" t="s">
        <v>6370</v>
      </c>
      <c r="G1740" t="s">
        <v>6371</v>
      </c>
      <c r="H1740" t="s">
        <v>29</v>
      </c>
      <c r="I1740" t="str">
        <f>"62363"</f>
        <v>62363</v>
      </c>
      <c r="J1740" t="s">
        <v>22</v>
      </c>
      <c r="K1740" t="s">
        <v>30</v>
      </c>
      <c r="L1740" s="2">
        <v>2163493</v>
      </c>
      <c r="M1740" s="2">
        <v>4553066</v>
      </c>
      <c r="N1740" s="2">
        <v>0</v>
      </c>
      <c r="O1740" s="2">
        <v>306819</v>
      </c>
      <c r="P1740" t="s">
        <v>24</v>
      </c>
      <c r="Q1740" t="s">
        <v>24</v>
      </c>
    </row>
    <row r="1741" spans="1:17" x14ac:dyDescent="0.25">
      <c r="A1741" t="s">
        <v>4738</v>
      </c>
      <c r="B1741" t="s">
        <v>4739</v>
      </c>
      <c r="C1741" s="1">
        <v>40909</v>
      </c>
      <c r="D1741" s="1">
        <v>41274</v>
      </c>
      <c r="E1741" t="s">
        <v>4740</v>
      </c>
      <c r="G1741" t="s">
        <v>612</v>
      </c>
      <c r="H1741" t="s">
        <v>42</v>
      </c>
      <c r="I1741" t="str">
        <f>"53092"</f>
        <v>53092</v>
      </c>
      <c r="J1741" t="s">
        <v>22</v>
      </c>
      <c r="K1741" t="s">
        <v>23</v>
      </c>
      <c r="L1741" s="2">
        <v>2161659</v>
      </c>
      <c r="M1741" s="2">
        <v>677035</v>
      </c>
      <c r="N1741" s="2">
        <v>0</v>
      </c>
      <c r="O1741" s="2">
        <v>98261</v>
      </c>
      <c r="P1741" t="s">
        <v>24</v>
      </c>
      <c r="Q1741" t="s">
        <v>24</v>
      </c>
    </row>
    <row r="1742" spans="1:17" x14ac:dyDescent="0.25">
      <c r="A1742" t="s">
        <v>1076</v>
      </c>
      <c r="B1742" t="s">
        <v>1077</v>
      </c>
      <c r="C1742" s="1">
        <v>41456</v>
      </c>
      <c r="D1742" s="1">
        <v>41820</v>
      </c>
      <c r="E1742" t="s">
        <v>1078</v>
      </c>
      <c r="G1742" t="s">
        <v>1066</v>
      </c>
      <c r="H1742" t="s">
        <v>29</v>
      </c>
      <c r="I1742" t="str">
        <f>"61938"</f>
        <v>61938</v>
      </c>
      <c r="J1742" t="s">
        <v>22</v>
      </c>
      <c r="K1742" t="s">
        <v>30</v>
      </c>
      <c r="L1742" s="2">
        <v>2160920</v>
      </c>
      <c r="M1742" s="2">
        <v>523188</v>
      </c>
      <c r="N1742" s="2">
        <v>3111</v>
      </c>
      <c r="O1742" s="2">
        <v>100058</v>
      </c>
      <c r="P1742" t="s">
        <v>24</v>
      </c>
      <c r="Q1742" t="s">
        <v>24</v>
      </c>
    </row>
    <row r="1743" spans="1:17" x14ac:dyDescent="0.25">
      <c r="A1743" t="s">
        <v>700</v>
      </c>
      <c r="B1743" t="s">
        <v>701</v>
      </c>
      <c r="C1743" s="1">
        <v>41275</v>
      </c>
      <c r="D1743" s="1">
        <v>41639</v>
      </c>
      <c r="E1743" t="s">
        <v>702</v>
      </c>
      <c r="G1743" t="s">
        <v>28</v>
      </c>
      <c r="H1743" t="s">
        <v>29</v>
      </c>
      <c r="I1743" t="str">
        <f>"60603"</f>
        <v>60603</v>
      </c>
      <c r="J1743" t="s">
        <v>22</v>
      </c>
      <c r="K1743" t="s">
        <v>23</v>
      </c>
      <c r="L1743" s="2">
        <v>2159216</v>
      </c>
      <c r="M1743" s="2">
        <v>613286</v>
      </c>
      <c r="N1743" s="2">
        <v>0</v>
      </c>
      <c r="O1743" s="2">
        <v>69112</v>
      </c>
      <c r="P1743" t="s">
        <v>24</v>
      </c>
      <c r="Q1743" t="s">
        <v>24</v>
      </c>
    </row>
    <row r="1744" spans="1:17" x14ac:dyDescent="0.25">
      <c r="A1744" t="s">
        <v>2896</v>
      </c>
      <c r="B1744" t="s">
        <v>2897</v>
      </c>
      <c r="C1744" s="1">
        <v>41275</v>
      </c>
      <c r="D1744" s="1">
        <v>41639</v>
      </c>
      <c r="E1744" t="s">
        <v>2898</v>
      </c>
      <c r="G1744" t="s">
        <v>28</v>
      </c>
      <c r="H1744" t="s">
        <v>29</v>
      </c>
      <c r="I1744" t="str">
        <f>"60603"</f>
        <v>60603</v>
      </c>
      <c r="J1744" t="s">
        <v>22</v>
      </c>
      <c r="K1744" t="s">
        <v>23</v>
      </c>
      <c r="L1744" s="2">
        <v>2157383</v>
      </c>
      <c r="M1744" s="2">
        <v>854129</v>
      </c>
      <c r="N1744" s="2">
        <v>0</v>
      </c>
      <c r="O1744" s="2">
        <v>115910</v>
      </c>
      <c r="P1744" t="s">
        <v>24</v>
      </c>
      <c r="Q1744" t="s">
        <v>24</v>
      </c>
    </row>
    <row r="1745" spans="1:17" x14ac:dyDescent="0.25">
      <c r="A1745" t="s">
        <v>4481</v>
      </c>
      <c r="B1745" t="s">
        <v>4482</v>
      </c>
      <c r="C1745" s="1">
        <v>41275</v>
      </c>
      <c r="D1745" s="1">
        <v>41639</v>
      </c>
      <c r="E1745" t="s">
        <v>4483</v>
      </c>
      <c r="G1745" t="s">
        <v>4484</v>
      </c>
      <c r="H1745" t="s">
        <v>62</v>
      </c>
      <c r="I1745" t="str">
        <f>"44094"</f>
        <v>44094</v>
      </c>
      <c r="J1745" t="s">
        <v>22</v>
      </c>
      <c r="K1745" t="s">
        <v>23</v>
      </c>
      <c r="L1745" s="2">
        <v>2155300</v>
      </c>
      <c r="M1745" s="2">
        <v>205404</v>
      </c>
      <c r="N1745" s="2">
        <v>0</v>
      </c>
      <c r="O1745" s="2">
        <v>112688</v>
      </c>
      <c r="P1745" t="s">
        <v>24</v>
      </c>
      <c r="Q1745" t="s">
        <v>24</v>
      </c>
    </row>
    <row r="1746" spans="1:17" x14ac:dyDescent="0.25">
      <c r="A1746" t="s">
        <v>4731</v>
      </c>
      <c r="B1746" t="s">
        <v>4732</v>
      </c>
      <c r="C1746" s="1">
        <v>41275</v>
      </c>
      <c r="D1746" s="1">
        <v>41639</v>
      </c>
      <c r="E1746" t="s">
        <v>4733</v>
      </c>
      <c r="G1746" t="s">
        <v>4734</v>
      </c>
      <c r="H1746" t="s">
        <v>62</v>
      </c>
      <c r="I1746" t="str">
        <f>"43023"</f>
        <v>43023</v>
      </c>
      <c r="J1746" t="s">
        <v>63</v>
      </c>
      <c r="K1746" t="s">
        <v>64</v>
      </c>
      <c r="L1746" s="2">
        <v>2155266</v>
      </c>
      <c r="M1746" s="2">
        <v>85011</v>
      </c>
      <c r="N1746" s="2">
        <v>0</v>
      </c>
      <c r="O1746" s="2">
        <v>102774</v>
      </c>
      <c r="P1746" s="2">
        <v>27726</v>
      </c>
      <c r="Q1746" t="s">
        <v>24</v>
      </c>
    </row>
    <row r="1747" spans="1:17" x14ac:dyDescent="0.25">
      <c r="A1747" t="s">
        <v>4546</v>
      </c>
      <c r="B1747" t="s">
        <v>4547</v>
      </c>
      <c r="C1747" s="1">
        <v>41275</v>
      </c>
      <c r="D1747" s="1">
        <v>41639</v>
      </c>
      <c r="E1747" t="s">
        <v>702</v>
      </c>
      <c r="G1747" t="s">
        <v>28</v>
      </c>
      <c r="H1747" t="s">
        <v>29</v>
      </c>
      <c r="I1747" t="str">
        <f>"60603"</f>
        <v>60603</v>
      </c>
      <c r="J1747" t="s">
        <v>22</v>
      </c>
      <c r="K1747" t="s">
        <v>30</v>
      </c>
      <c r="L1747" s="2">
        <v>2155018</v>
      </c>
      <c r="M1747" s="2">
        <v>681005</v>
      </c>
      <c r="N1747" s="2">
        <v>0</v>
      </c>
      <c r="O1747" s="2">
        <v>114606</v>
      </c>
      <c r="P1747" t="s">
        <v>24</v>
      </c>
      <c r="Q1747" t="s">
        <v>24</v>
      </c>
    </row>
    <row r="1748" spans="1:17" x14ac:dyDescent="0.25">
      <c r="A1748" t="s">
        <v>6221</v>
      </c>
      <c r="B1748" t="s">
        <v>6222</v>
      </c>
      <c r="E1748" t="s">
        <v>6223</v>
      </c>
      <c r="G1748" t="s">
        <v>401</v>
      </c>
      <c r="H1748" t="s">
        <v>47</v>
      </c>
      <c r="I1748" t="str">
        <f>"48641"</f>
        <v>48641</v>
      </c>
      <c r="J1748" t="s">
        <v>22</v>
      </c>
      <c r="K1748" t="s">
        <v>23</v>
      </c>
      <c r="L1748" s="2">
        <v>2154711</v>
      </c>
      <c r="M1748" s="2">
        <v>1521833</v>
      </c>
      <c r="N1748" s="2">
        <v>0</v>
      </c>
      <c r="O1748" t="s">
        <v>24</v>
      </c>
      <c r="P1748" t="s">
        <v>24</v>
      </c>
      <c r="Q1748" t="s">
        <v>24</v>
      </c>
    </row>
    <row r="1749" spans="1:17" x14ac:dyDescent="0.25">
      <c r="A1749" t="s">
        <v>459</v>
      </c>
      <c r="B1749" t="s">
        <v>460</v>
      </c>
      <c r="C1749" s="1">
        <v>41275</v>
      </c>
      <c r="D1749" s="1">
        <v>41639</v>
      </c>
      <c r="E1749" t="s">
        <v>461</v>
      </c>
      <c r="G1749" t="s">
        <v>462</v>
      </c>
      <c r="H1749" t="s">
        <v>47</v>
      </c>
      <c r="I1749" t="str">
        <f>"48601"</f>
        <v>48601</v>
      </c>
      <c r="J1749" t="s">
        <v>22</v>
      </c>
      <c r="K1749" t="s">
        <v>23</v>
      </c>
      <c r="L1749" s="2">
        <v>2154084</v>
      </c>
      <c r="M1749" s="2">
        <v>1238588</v>
      </c>
      <c r="N1749" s="2">
        <v>0</v>
      </c>
      <c r="O1749" s="2">
        <v>121751</v>
      </c>
      <c r="P1749" t="s">
        <v>24</v>
      </c>
      <c r="Q1749" t="s">
        <v>24</v>
      </c>
    </row>
    <row r="1750" spans="1:17" x14ac:dyDescent="0.25">
      <c r="A1750" t="s">
        <v>3528</v>
      </c>
      <c r="B1750" t="s">
        <v>3529</v>
      </c>
      <c r="C1750" s="1">
        <v>41275</v>
      </c>
      <c r="D1750" s="1">
        <v>41639</v>
      </c>
      <c r="E1750" t="s">
        <v>3530</v>
      </c>
      <c r="G1750" t="s">
        <v>1316</v>
      </c>
      <c r="H1750" t="s">
        <v>47</v>
      </c>
      <c r="I1750" t="str">
        <f>"49236"</f>
        <v>49236</v>
      </c>
      <c r="J1750" t="s">
        <v>22</v>
      </c>
      <c r="K1750" t="s">
        <v>23</v>
      </c>
      <c r="L1750" s="2">
        <v>2151085</v>
      </c>
      <c r="M1750" s="2">
        <v>594491</v>
      </c>
      <c r="N1750" s="2">
        <v>0</v>
      </c>
      <c r="O1750" s="2">
        <v>128094</v>
      </c>
      <c r="P1750" t="s">
        <v>24</v>
      </c>
      <c r="Q1750" t="s">
        <v>24</v>
      </c>
    </row>
    <row r="1751" spans="1:17" x14ac:dyDescent="0.25">
      <c r="A1751" t="s">
        <v>247</v>
      </c>
      <c r="B1751" t="s">
        <v>248</v>
      </c>
      <c r="C1751" s="1">
        <v>40544</v>
      </c>
      <c r="D1751" s="1">
        <v>40908</v>
      </c>
      <c r="E1751" t="s">
        <v>249</v>
      </c>
      <c r="G1751" t="s">
        <v>250</v>
      </c>
      <c r="H1751" t="s">
        <v>62</v>
      </c>
      <c r="I1751" t="str">
        <f>"44108"</f>
        <v>44108</v>
      </c>
      <c r="J1751" t="s">
        <v>22</v>
      </c>
      <c r="K1751" t="s">
        <v>30</v>
      </c>
      <c r="L1751" s="2">
        <v>2148750</v>
      </c>
      <c r="M1751" s="2">
        <v>2131474</v>
      </c>
      <c r="N1751" s="2">
        <v>0</v>
      </c>
      <c r="O1751" s="2">
        <v>100559</v>
      </c>
      <c r="P1751" t="s">
        <v>24</v>
      </c>
      <c r="Q1751" t="s">
        <v>24</v>
      </c>
    </row>
    <row r="1752" spans="1:17" x14ac:dyDescent="0.25">
      <c r="A1752" t="s">
        <v>666</v>
      </c>
      <c r="B1752" t="s">
        <v>667</v>
      </c>
      <c r="C1752" s="1">
        <v>41275</v>
      </c>
      <c r="D1752" s="1">
        <v>41639</v>
      </c>
      <c r="E1752" t="s">
        <v>668</v>
      </c>
      <c r="G1752" t="s">
        <v>28</v>
      </c>
      <c r="H1752" t="s">
        <v>29</v>
      </c>
      <c r="I1752" t="str">
        <f>"60606"</f>
        <v>60606</v>
      </c>
      <c r="J1752" t="s">
        <v>22</v>
      </c>
      <c r="K1752" t="s">
        <v>30</v>
      </c>
      <c r="L1752" s="2">
        <v>2147393</v>
      </c>
      <c r="M1752" s="2">
        <v>585633</v>
      </c>
      <c r="N1752" s="2">
        <v>0</v>
      </c>
      <c r="O1752" s="2">
        <v>33658</v>
      </c>
      <c r="P1752" t="s">
        <v>24</v>
      </c>
      <c r="Q1752" t="s">
        <v>24</v>
      </c>
    </row>
    <row r="1753" spans="1:17" x14ac:dyDescent="0.25">
      <c r="A1753" t="s">
        <v>7602</v>
      </c>
      <c r="B1753" t="s">
        <v>7603</v>
      </c>
      <c r="C1753" s="1">
        <v>41275</v>
      </c>
      <c r="D1753" s="1">
        <v>41639</v>
      </c>
      <c r="E1753" t="s">
        <v>7604</v>
      </c>
      <c r="G1753" t="s">
        <v>337</v>
      </c>
      <c r="H1753" t="s">
        <v>62</v>
      </c>
      <c r="I1753" t="str">
        <f>"44114"</f>
        <v>44114</v>
      </c>
      <c r="J1753" t="s">
        <v>63</v>
      </c>
      <c r="K1753" t="s">
        <v>30</v>
      </c>
      <c r="L1753" s="2">
        <v>2146997</v>
      </c>
      <c r="M1753" s="2">
        <v>2538668</v>
      </c>
      <c r="N1753" s="2">
        <v>0</v>
      </c>
      <c r="O1753" s="2">
        <v>2881295</v>
      </c>
      <c r="P1753" s="2">
        <v>0</v>
      </c>
      <c r="Q1753" s="2">
        <v>0</v>
      </c>
    </row>
    <row r="1754" spans="1:17" x14ac:dyDescent="0.25">
      <c r="A1754" t="s">
        <v>5786</v>
      </c>
      <c r="B1754" t="s">
        <v>5787</v>
      </c>
      <c r="C1754" s="1">
        <v>41275</v>
      </c>
      <c r="D1754" s="1">
        <v>41639</v>
      </c>
      <c r="E1754" t="s">
        <v>5788</v>
      </c>
      <c r="G1754" t="s">
        <v>865</v>
      </c>
      <c r="H1754" t="s">
        <v>29</v>
      </c>
      <c r="I1754" t="str">
        <f>"60035"</f>
        <v>60035</v>
      </c>
      <c r="J1754" t="s">
        <v>22</v>
      </c>
      <c r="K1754" t="s">
        <v>23</v>
      </c>
      <c r="L1754" s="2">
        <v>2142050</v>
      </c>
      <c r="M1754" s="2">
        <v>6650200</v>
      </c>
      <c r="N1754" s="2">
        <v>0</v>
      </c>
      <c r="O1754" s="2">
        <v>5491801</v>
      </c>
      <c r="P1754" t="s">
        <v>24</v>
      </c>
      <c r="Q1754" t="s">
        <v>24</v>
      </c>
    </row>
    <row r="1755" spans="1:17" x14ac:dyDescent="0.25">
      <c r="A1755" t="s">
        <v>988</v>
      </c>
      <c r="B1755" t="s">
        <v>989</v>
      </c>
      <c r="C1755" s="1">
        <v>41275</v>
      </c>
      <c r="D1755" s="1">
        <v>41639</v>
      </c>
      <c r="E1755" t="s">
        <v>750</v>
      </c>
      <c r="G1755" t="s">
        <v>751</v>
      </c>
      <c r="H1755" t="s">
        <v>62</v>
      </c>
      <c r="I1755" t="str">
        <f>"44144"</f>
        <v>44144</v>
      </c>
      <c r="J1755" t="s">
        <v>22</v>
      </c>
      <c r="K1755" t="s">
        <v>23</v>
      </c>
      <c r="L1755" s="2">
        <v>2140095</v>
      </c>
      <c r="M1755" s="2">
        <v>670166</v>
      </c>
      <c r="N1755" s="2">
        <v>0</v>
      </c>
      <c r="O1755" s="2">
        <v>122283</v>
      </c>
      <c r="P1755" t="s">
        <v>24</v>
      </c>
      <c r="Q1755" t="s">
        <v>24</v>
      </c>
    </row>
    <row r="1756" spans="1:17" x14ac:dyDescent="0.25">
      <c r="A1756" t="s">
        <v>2584</v>
      </c>
      <c r="B1756" t="s">
        <v>2585</v>
      </c>
      <c r="C1756" s="1">
        <v>41275</v>
      </c>
      <c r="D1756" s="1">
        <v>41639</v>
      </c>
      <c r="E1756" t="s">
        <v>2586</v>
      </c>
      <c r="G1756" t="s">
        <v>1670</v>
      </c>
      <c r="H1756" t="s">
        <v>47</v>
      </c>
      <c r="I1756" t="str">
        <f>"48324"</f>
        <v>48324</v>
      </c>
      <c r="J1756" t="s">
        <v>22</v>
      </c>
      <c r="K1756" t="s">
        <v>30</v>
      </c>
      <c r="L1756" s="2">
        <v>2137658</v>
      </c>
      <c r="M1756" s="2">
        <v>700157</v>
      </c>
      <c r="N1756" s="2">
        <v>0</v>
      </c>
      <c r="O1756" s="2">
        <v>156535</v>
      </c>
      <c r="P1756" t="s">
        <v>24</v>
      </c>
      <c r="Q1756" t="s">
        <v>24</v>
      </c>
    </row>
    <row r="1757" spans="1:17" x14ac:dyDescent="0.25">
      <c r="A1757" t="s">
        <v>1059</v>
      </c>
      <c r="B1757" t="s">
        <v>1060</v>
      </c>
      <c r="C1757" s="1">
        <v>41275</v>
      </c>
      <c r="D1757" s="1">
        <v>41639</v>
      </c>
      <c r="E1757" t="s">
        <v>1061</v>
      </c>
      <c r="G1757" t="s">
        <v>1062</v>
      </c>
      <c r="H1757" t="s">
        <v>47</v>
      </c>
      <c r="I1757" t="str">
        <f>"48739"</f>
        <v>48739</v>
      </c>
      <c r="J1757" t="s">
        <v>22</v>
      </c>
      <c r="K1757" t="s">
        <v>30</v>
      </c>
      <c r="L1757" s="2">
        <v>2136245</v>
      </c>
      <c r="M1757" s="2">
        <v>176175</v>
      </c>
      <c r="N1757" s="2">
        <v>0</v>
      </c>
      <c r="O1757" s="2">
        <v>115048</v>
      </c>
      <c r="P1757" t="s">
        <v>24</v>
      </c>
      <c r="Q1757" t="s">
        <v>24</v>
      </c>
    </row>
    <row r="1758" spans="1:17" x14ac:dyDescent="0.25">
      <c r="A1758" t="s">
        <v>5299</v>
      </c>
      <c r="B1758" t="s">
        <v>5300</v>
      </c>
      <c r="C1758" s="1">
        <v>41275</v>
      </c>
      <c r="D1758" s="1">
        <v>41639</v>
      </c>
      <c r="E1758" t="s">
        <v>5301</v>
      </c>
      <c r="G1758" t="s">
        <v>5302</v>
      </c>
      <c r="H1758" t="s">
        <v>62</v>
      </c>
      <c r="I1758" t="str">
        <f>"44280"</f>
        <v>44280</v>
      </c>
      <c r="J1758" t="s">
        <v>22</v>
      </c>
      <c r="K1758" t="s">
        <v>23</v>
      </c>
      <c r="L1758" s="2">
        <v>2135977</v>
      </c>
      <c r="M1758" s="2">
        <v>1164920</v>
      </c>
      <c r="N1758" s="2">
        <v>0</v>
      </c>
      <c r="O1758" s="2">
        <v>88954</v>
      </c>
      <c r="P1758" t="s">
        <v>24</v>
      </c>
      <c r="Q1758" t="s">
        <v>24</v>
      </c>
    </row>
    <row r="1759" spans="1:17" x14ac:dyDescent="0.25">
      <c r="A1759" t="s">
        <v>4285</v>
      </c>
      <c r="B1759" t="s">
        <v>4286</v>
      </c>
      <c r="C1759" s="1">
        <v>41091</v>
      </c>
      <c r="D1759" s="1">
        <v>41455</v>
      </c>
      <c r="E1759" t="s">
        <v>2297</v>
      </c>
      <c r="G1759" t="s">
        <v>364</v>
      </c>
      <c r="H1759" t="s">
        <v>21</v>
      </c>
      <c r="I1759" t="str">
        <f>"47702"</f>
        <v>47702</v>
      </c>
      <c r="J1759" t="s">
        <v>22</v>
      </c>
      <c r="K1759" t="s">
        <v>91</v>
      </c>
      <c r="L1759" s="2">
        <v>2135496</v>
      </c>
      <c r="M1759" s="2">
        <v>744464</v>
      </c>
      <c r="N1759" s="2">
        <v>0</v>
      </c>
      <c r="O1759" s="2">
        <v>388216</v>
      </c>
      <c r="P1759" t="s">
        <v>24</v>
      </c>
      <c r="Q1759" t="s">
        <v>24</v>
      </c>
    </row>
    <row r="1760" spans="1:17" x14ac:dyDescent="0.25">
      <c r="A1760" t="s">
        <v>4671</v>
      </c>
      <c r="B1760" t="s">
        <v>4672</v>
      </c>
      <c r="C1760" s="1">
        <v>41456</v>
      </c>
      <c r="D1760" s="1">
        <v>41820</v>
      </c>
      <c r="E1760" t="s">
        <v>104</v>
      </c>
      <c r="G1760" t="s">
        <v>28</v>
      </c>
      <c r="H1760" t="s">
        <v>29</v>
      </c>
      <c r="I1760" t="str">
        <f>"60680"</f>
        <v>60680</v>
      </c>
      <c r="J1760" t="s">
        <v>22</v>
      </c>
      <c r="K1760" t="s">
        <v>23</v>
      </c>
      <c r="L1760" s="2">
        <v>2135393</v>
      </c>
      <c r="M1760" s="2">
        <v>406278</v>
      </c>
      <c r="N1760" s="2">
        <v>0</v>
      </c>
      <c r="O1760" s="2">
        <v>86353</v>
      </c>
      <c r="P1760" t="s">
        <v>24</v>
      </c>
      <c r="Q1760" t="s">
        <v>24</v>
      </c>
    </row>
    <row r="1761" spans="1:17" x14ac:dyDescent="0.25">
      <c r="A1761" t="s">
        <v>6476</v>
      </c>
      <c r="B1761" t="s">
        <v>6477</v>
      </c>
      <c r="C1761" s="1">
        <v>41275</v>
      </c>
      <c r="D1761" s="1">
        <v>41639</v>
      </c>
      <c r="E1761" t="s">
        <v>40</v>
      </c>
      <c r="G1761" t="s">
        <v>41</v>
      </c>
      <c r="H1761" t="s">
        <v>42</v>
      </c>
      <c r="I1761" t="str">
        <f>"53201"</f>
        <v>53201</v>
      </c>
      <c r="J1761" t="s">
        <v>22</v>
      </c>
      <c r="K1761" t="s">
        <v>23</v>
      </c>
      <c r="L1761" s="2">
        <v>2134496</v>
      </c>
      <c r="M1761" s="2">
        <v>1013404</v>
      </c>
      <c r="N1761" s="2">
        <v>0</v>
      </c>
      <c r="O1761" s="2">
        <v>126989</v>
      </c>
      <c r="P1761" t="s">
        <v>24</v>
      </c>
      <c r="Q1761" t="s">
        <v>24</v>
      </c>
    </row>
    <row r="1762" spans="1:17" x14ac:dyDescent="0.25">
      <c r="A1762" t="s">
        <v>2690</v>
      </c>
      <c r="B1762" t="s">
        <v>2691</v>
      </c>
      <c r="C1762" s="1">
        <v>41334</v>
      </c>
      <c r="D1762" s="1">
        <v>41698</v>
      </c>
      <c r="E1762" t="s">
        <v>2692</v>
      </c>
      <c r="G1762" t="s">
        <v>28</v>
      </c>
      <c r="H1762" t="s">
        <v>29</v>
      </c>
      <c r="I1762" t="str">
        <f>"60606"</f>
        <v>60606</v>
      </c>
      <c r="J1762" t="s">
        <v>22</v>
      </c>
      <c r="K1762" t="s">
        <v>23</v>
      </c>
      <c r="L1762" s="2">
        <v>2131977</v>
      </c>
      <c r="M1762" s="2">
        <v>50251</v>
      </c>
      <c r="N1762" s="2">
        <v>2131977</v>
      </c>
      <c r="O1762" s="2">
        <v>152139</v>
      </c>
      <c r="P1762" t="s">
        <v>24</v>
      </c>
      <c r="Q1762" t="s">
        <v>24</v>
      </c>
    </row>
    <row r="1763" spans="1:17" x14ac:dyDescent="0.25">
      <c r="A1763" t="s">
        <v>6573</v>
      </c>
      <c r="B1763" t="s">
        <v>6574</v>
      </c>
      <c r="C1763" s="1">
        <v>41275</v>
      </c>
      <c r="D1763" s="1">
        <v>41639</v>
      </c>
      <c r="E1763" t="s">
        <v>40</v>
      </c>
      <c r="G1763" t="s">
        <v>41</v>
      </c>
      <c r="H1763" t="s">
        <v>42</v>
      </c>
      <c r="I1763" t="str">
        <f>"53201"</f>
        <v>53201</v>
      </c>
      <c r="J1763" t="s">
        <v>22</v>
      </c>
      <c r="K1763" t="s">
        <v>30</v>
      </c>
      <c r="L1763" s="2">
        <v>2129147</v>
      </c>
      <c r="M1763" s="2">
        <v>1177131</v>
      </c>
      <c r="N1763" s="2">
        <v>0</v>
      </c>
      <c r="O1763" s="2">
        <v>121125</v>
      </c>
      <c r="P1763" t="s">
        <v>24</v>
      </c>
      <c r="Q1763" t="s">
        <v>24</v>
      </c>
    </row>
    <row r="1764" spans="1:17" x14ac:dyDescent="0.25">
      <c r="A1764" t="s">
        <v>538</v>
      </c>
      <c r="B1764" t="s">
        <v>539</v>
      </c>
      <c r="C1764" s="1">
        <v>41275</v>
      </c>
      <c r="D1764" s="1">
        <v>41639</v>
      </c>
      <c r="E1764" t="s">
        <v>104</v>
      </c>
      <c r="G1764" t="s">
        <v>28</v>
      </c>
      <c r="H1764" t="s">
        <v>29</v>
      </c>
      <c r="I1764" t="str">
        <f>"60680"</f>
        <v>60680</v>
      </c>
      <c r="J1764" t="s">
        <v>22</v>
      </c>
      <c r="K1764" t="s">
        <v>30</v>
      </c>
      <c r="L1764" s="2">
        <v>2128589</v>
      </c>
      <c r="M1764" s="2">
        <v>1269533</v>
      </c>
      <c r="N1764" s="2">
        <v>0</v>
      </c>
      <c r="O1764" s="2">
        <v>155872</v>
      </c>
      <c r="P1764" t="s">
        <v>24</v>
      </c>
      <c r="Q1764" t="s">
        <v>24</v>
      </c>
    </row>
    <row r="1765" spans="1:17" x14ac:dyDescent="0.25">
      <c r="A1765" t="s">
        <v>1545</v>
      </c>
      <c r="B1765" t="s">
        <v>1546</v>
      </c>
      <c r="C1765" s="1">
        <v>41214</v>
      </c>
      <c r="D1765" s="1">
        <v>41578</v>
      </c>
      <c r="E1765" t="s">
        <v>1547</v>
      </c>
      <c r="G1765" t="s">
        <v>1548</v>
      </c>
      <c r="H1765" t="s">
        <v>42</v>
      </c>
      <c r="I1765" t="str">
        <f>"53578"</f>
        <v>53578</v>
      </c>
      <c r="J1765" t="s">
        <v>22</v>
      </c>
      <c r="K1765" t="s">
        <v>23</v>
      </c>
      <c r="L1765" s="2">
        <v>2126749</v>
      </c>
      <c r="M1765" s="2">
        <v>1221561</v>
      </c>
      <c r="N1765" s="2">
        <v>190760</v>
      </c>
      <c r="O1765" s="2">
        <v>742424</v>
      </c>
      <c r="P1765" t="s">
        <v>24</v>
      </c>
      <c r="Q1765" t="s">
        <v>24</v>
      </c>
    </row>
    <row r="1766" spans="1:17" x14ac:dyDescent="0.25">
      <c r="A1766" t="s">
        <v>3063</v>
      </c>
      <c r="B1766" t="s">
        <v>3064</v>
      </c>
      <c r="C1766" s="1">
        <v>41275</v>
      </c>
      <c r="D1766" s="1">
        <v>41639</v>
      </c>
      <c r="E1766" t="s">
        <v>50</v>
      </c>
      <c r="G1766" t="s">
        <v>28</v>
      </c>
      <c r="H1766" t="s">
        <v>29</v>
      </c>
      <c r="I1766" t="str">
        <f>"60603"</f>
        <v>60603</v>
      </c>
      <c r="J1766" t="s">
        <v>22</v>
      </c>
      <c r="K1766" t="s">
        <v>23</v>
      </c>
      <c r="L1766" s="2">
        <v>2122450</v>
      </c>
      <c r="M1766" s="2">
        <v>709732</v>
      </c>
      <c r="N1766" s="2">
        <v>0</v>
      </c>
      <c r="O1766" s="2">
        <v>112435</v>
      </c>
      <c r="P1766" t="s">
        <v>24</v>
      </c>
      <c r="Q1766" t="s">
        <v>24</v>
      </c>
    </row>
    <row r="1767" spans="1:17" x14ac:dyDescent="0.25">
      <c r="A1767" t="s">
        <v>5751</v>
      </c>
      <c r="B1767" t="s">
        <v>5752</v>
      </c>
      <c r="C1767" s="1">
        <v>41275</v>
      </c>
      <c r="D1767" s="1">
        <v>41639</v>
      </c>
      <c r="E1767" t="s">
        <v>1956</v>
      </c>
      <c r="G1767" t="s">
        <v>147</v>
      </c>
      <c r="H1767" t="s">
        <v>62</v>
      </c>
      <c r="I1767" t="str">
        <f>"44333"</f>
        <v>44333</v>
      </c>
      <c r="J1767" t="s">
        <v>22</v>
      </c>
      <c r="K1767" t="s">
        <v>23</v>
      </c>
      <c r="L1767" s="2">
        <v>2122296</v>
      </c>
      <c r="M1767" s="2">
        <v>688992</v>
      </c>
      <c r="N1767" s="2">
        <v>24964</v>
      </c>
      <c r="O1767" s="2">
        <v>391439</v>
      </c>
      <c r="P1767" t="s">
        <v>24</v>
      </c>
      <c r="Q1767" t="s">
        <v>24</v>
      </c>
    </row>
    <row r="1768" spans="1:17" x14ac:dyDescent="0.25">
      <c r="A1768" t="s">
        <v>573</v>
      </c>
      <c r="B1768" t="s">
        <v>574</v>
      </c>
      <c r="C1768" s="1">
        <v>41275</v>
      </c>
      <c r="D1768" s="1">
        <v>41639</v>
      </c>
      <c r="E1768" t="s">
        <v>575</v>
      </c>
      <c r="G1768" t="s">
        <v>315</v>
      </c>
      <c r="H1768" t="s">
        <v>42</v>
      </c>
      <c r="I1768" t="str">
        <f>"54701"</f>
        <v>54701</v>
      </c>
      <c r="J1768" t="s">
        <v>22</v>
      </c>
      <c r="K1768" t="s">
        <v>91</v>
      </c>
      <c r="L1768" s="2">
        <v>2122160</v>
      </c>
      <c r="M1768" s="2">
        <v>793964</v>
      </c>
      <c r="N1768" s="2">
        <v>0</v>
      </c>
      <c r="O1768" s="2">
        <v>184448</v>
      </c>
      <c r="P1768" t="s">
        <v>24</v>
      </c>
      <c r="Q1768" t="s">
        <v>24</v>
      </c>
    </row>
    <row r="1769" spans="1:17" x14ac:dyDescent="0.25">
      <c r="A1769" t="s">
        <v>4741</v>
      </c>
      <c r="B1769" t="s">
        <v>4742</v>
      </c>
      <c r="C1769" s="1">
        <v>40909</v>
      </c>
      <c r="D1769" s="1">
        <v>41274</v>
      </c>
      <c r="E1769" t="s">
        <v>50</v>
      </c>
      <c r="G1769" t="s">
        <v>28</v>
      </c>
      <c r="H1769" t="s">
        <v>29</v>
      </c>
      <c r="I1769" t="str">
        <f>"60603"</f>
        <v>60603</v>
      </c>
      <c r="J1769" t="s">
        <v>22</v>
      </c>
      <c r="K1769" t="s">
        <v>30</v>
      </c>
      <c r="L1769" s="2">
        <v>2117050</v>
      </c>
      <c r="M1769" s="2">
        <v>717072</v>
      </c>
      <c r="N1769" s="2">
        <v>0</v>
      </c>
      <c r="O1769" s="2">
        <v>111397</v>
      </c>
      <c r="P1769" t="s">
        <v>24</v>
      </c>
      <c r="Q1769" t="s">
        <v>24</v>
      </c>
    </row>
    <row r="1770" spans="1:17" x14ac:dyDescent="0.25">
      <c r="A1770" t="s">
        <v>7357</v>
      </c>
      <c r="B1770" t="s">
        <v>7358</v>
      </c>
      <c r="C1770" s="1">
        <v>41275</v>
      </c>
      <c r="D1770" s="1">
        <v>41639</v>
      </c>
      <c r="E1770" t="s">
        <v>7359</v>
      </c>
      <c r="G1770" t="s">
        <v>7360</v>
      </c>
      <c r="H1770" t="s">
        <v>47</v>
      </c>
      <c r="I1770" t="str">
        <f>"48068"</f>
        <v>48068</v>
      </c>
      <c r="J1770" t="s">
        <v>22</v>
      </c>
      <c r="K1770" t="s">
        <v>30</v>
      </c>
      <c r="L1770" s="2">
        <v>2116920</v>
      </c>
      <c r="M1770" s="2">
        <v>1259803</v>
      </c>
      <c r="N1770" s="2">
        <v>0</v>
      </c>
      <c r="O1770" s="2">
        <v>489239</v>
      </c>
      <c r="P1770" t="s">
        <v>24</v>
      </c>
      <c r="Q1770" t="s">
        <v>24</v>
      </c>
    </row>
    <row r="1771" spans="1:17" x14ac:dyDescent="0.25">
      <c r="A1771" t="s">
        <v>1117</v>
      </c>
      <c r="B1771" t="s">
        <v>1118</v>
      </c>
      <c r="C1771" s="1">
        <v>41183</v>
      </c>
      <c r="D1771" s="1">
        <v>41547</v>
      </c>
      <c r="E1771" t="s">
        <v>40</v>
      </c>
      <c r="G1771" t="s">
        <v>41</v>
      </c>
      <c r="H1771" t="s">
        <v>42</v>
      </c>
      <c r="I1771" t="str">
        <f>"53201"</f>
        <v>53201</v>
      </c>
      <c r="J1771" t="s">
        <v>22</v>
      </c>
      <c r="K1771" t="s">
        <v>30</v>
      </c>
      <c r="L1771" s="2">
        <v>2110091</v>
      </c>
      <c r="M1771" s="2">
        <v>140053</v>
      </c>
      <c r="N1771" s="2">
        <v>0</v>
      </c>
      <c r="O1771" s="2">
        <v>135773</v>
      </c>
      <c r="P1771" t="s">
        <v>24</v>
      </c>
      <c r="Q1771" t="s">
        <v>24</v>
      </c>
    </row>
    <row r="1772" spans="1:17" x14ac:dyDescent="0.25">
      <c r="A1772" t="s">
        <v>6748</v>
      </c>
      <c r="B1772" t="s">
        <v>6749</v>
      </c>
      <c r="C1772" s="1">
        <v>41275</v>
      </c>
      <c r="D1772" s="1">
        <v>41639</v>
      </c>
      <c r="E1772" t="s">
        <v>6750</v>
      </c>
      <c r="G1772" t="s">
        <v>28</v>
      </c>
      <c r="H1772" t="s">
        <v>29</v>
      </c>
      <c r="I1772" t="str">
        <f>"60654"</f>
        <v>60654</v>
      </c>
      <c r="J1772" t="s">
        <v>22</v>
      </c>
      <c r="K1772" t="s">
        <v>23</v>
      </c>
      <c r="L1772" s="2">
        <v>2108911</v>
      </c>
      <c r="M1772" s="2">
        <v>2150533</v>
      </c>
      <c r="N1772" s="2">
        <v>0</v>
      </c>
      <c r="O1772" s="2">
        <v>333493</v>
      </c>
      <c r="P1772" t="s">
        <v>24</v>
      </c>
      <c r="Q1772" t="s">
        <v>24</v>
      </c>
    </row>
    <row r="1773" spans="1:17" x14ac:dyDescent="0.25">
      <c r="A1773" t="s">
        <v>1902</v>
      </c>
      <c r="B1773" t="s">
        <v>1903</v>
      </c>
      <c r="C1773" s="1">
        <v>41395</v>
      </c>
      <c r="D1773" s="1">
        <v>41759</v>
      </c>
      <c r="E1773" t="s">
        <v>142</v>
      </c>
      <c r="G1773" t="s">
        <v>143</v>
      </c>
      <c r="H1773" t="s">
        <v>47</v>
      </c>
      <c r="I1773" t="str">
        <f>"48275"</f>
        <v>48275</v>
      </c>
      <c r="J1773" t="s">
        <v>22</v>
      </c>
      <c r="K1773" t="s">
        <v>23</v>
      </c>
      <c r="L1773" s="2">
        <v>2107939</v>
      </c>
      <c r="M1773" s="2">
        <v>62733</v>
      </c>
      <c r="N1773" s="2">
        <v>0</v>
      </c>
      <c r="O1773" s="2">
        <v>40590</v>
      </c>
      <c r="P1773" t="s">
        <v>24</v>
      </c>
      <c r="Q1773" t="s">
        <v>24</v>
      </c>
    </row>
    <row r="1774" spans="1:17" x14ac:dyDescent="0.25">
      <c r="A1774" t="s">
        <v>5052</v>
      </c>
      <c r="B1774" t="s">
        <v>5053</v>
      </c>
      <c r="C1774" s="1">
        <v>41275</v>
      </c>
      <c r="D1774" s="1">
        <v>41639</v>
      </c>
      <c r="E1774" t="s">
        <v>5054</v>
      </c>
      <c r="G1774" t="s">
        <v>5055</v>
      </c>
      <c r="H1774" t="s">
        <v>62</v>
      </c>
      <c r="I1774" t="str">
        <f>"44118"</f>
        <v>44118</v>
      </c>
      <c r="J1774" t="s">
        <v>22</v>
      </c>
      <c r="K1774" t="s">
        <v>23</v>
      </c>
      <c r="L1774" s="2">
        <v>2105950</v>
      </c>
      <c r="M1774" s="2">
        <v>59871</v>
      </c>
      <c r="N1774" s="2">
        <v>0</v>
      </c>
      <c r="O1774" s="2">
        <v>40925</v>
      </c>
      <c r="P1774" t="s">
        <v>24</v>
      </c>
      <c r="Q1774" t="s">
        <v>24</v>
      </c>
    </row>
    <row r="1775" spans="1:17" x14ac:dyDescent="0.25">
      <c r="A1775" t="s">
        <v>5882</v>
      </c>
      <c r="B1775" t="s">
        <v>5883</v>
      </c>
      <c r="C1775" s="1">
        <v>40909</v>
      </c>
      <c r="D1775" s="1">
        <v>41274</v>
      </c>
      <c r="E1775" t="s">
        <v>5884</v>
      </c>
      <c r="G1775" t="s">
        <v>337</v>
      </c>
      <c r="H1775" t="s">
        <v>62</v>
      </c>
      <c r="I1775" t="str">
        <f>"44114"</f>
        <v>44114</v>
      </c>
      <c r="J1775" t="s">
        <v>22</v>
      </c>
      <c r="K1775" t="s">
        <v>30</v>
      </c>
      <c r="L1775" s="2">
        <v>2104327</v>
      </c>
      <c r="M1775" s="2">
        <v>183228</v>
      </c>
      <c r="N1775" s="2">
        <v>4000</v>
      </c>
      <c r="O1775" s="2">
        <v>106471</v>
      </c>
      <c r="P1775" t="s">
        <v>24</v>
      </c>
      <c r="Q1775" t="s">
        <v>24</v>
      </c>
    </row>
    <row r="1776" spans="1:17" x14ac:dyDescent="0.25">
      <c r="A1776" t="s">
        <v>3976</v>
      </c>
      <c r="B1776" t="s">
        <v>3977</v>
      </c>
      <c r="C1776" s="1">
        <v>41275</v>
      </c>
      <c r="D1776" s="1">
        <v>41639</v>
      </c>
      <c r="E1776" t="s">
        <v>3978</v>
      </c>
      <c r="G1776" t="s">
        <v>3979</v>
      </c>
      <c r="H1776" t="s">
        <v>62</v>
      </c>
      <c r="I1776" t="str">
        <f>"44145"</f>
        <v>44145</v>
      </c>
      <c r="J1776" t="s">
        <v>22</v>
      </c>
      <c r="K1776" t="s">
        <v>23</v>
      </c>
      <c r="L1776" s="2">
        <v>2103850</v>
      </c>
      <c r="M1776" s="2">
        <v>2607035</v>
      </c>
      <c r="N1776" s="2">
        <v>0</v>
      </c>
      <c r="O1776" s="2">
        <v>122067</v>
      </c>
      <c r="P1776" t="s">
        <v>24</v>
      </c>
      <c r="Q1776" t="s">
        <v>24</v>
      </c>
    </row>
    <row r="1777" spans="1:17" x14ac:dyDescent="0.25">
      <c r="A1777" t="s">
        <v>7632</v>
      </c>
      <c r="B1777" t="s">
        <v>7633</v>
      </c>
      <c r="C1777" s="1">
        <v>41275</v>
      </c>
      <c r="D1777" s="1">
        <v>41639</v>
      </c>
      <c r="E1777" t="s">
        <v>2499</v>
      </c>
      <c r="G1777" t="s">
        <v>1765</v>
      </c>
      <c r="H1777" t="s">
        <v>78</v>
      </c>
      <c r="I1777" t="str">
        <f>"41011"</f>
        <v>41011</v>
      </c>
      <c r="J1777" t="s">
        <v>22</v>
      </c>
      <c r="K1777" t="s">
        <v>23</v>
      </c>
      <c r="L1777" s="2">
        <v>2101027</v>
      </c>
      <c r="M1777" s="2">
        <v>1527269</v>
      </c>
      <c r="N1777" s="2">
        <v>0</v>
      </c>
      <c r="O1777" s="2">
        <v>122238</v>
      </c>
      <c r="P1777" t="s">
        <v>24</v>
      </c>
      <c r="Q1777" t="s">
        <v>24</v>
      </c>
    </row>
    <row r="1778" spans="1:17" x14ac:dyDescent="0.25">
      <c r="A1778" t="s">
        <v>5819</v>
      </c>
      <c r="B1778" t="s">
        <v>5820</v>
      </c>
      <c r="C1778" s="1">
        <v>41275</v>
      </c>
      <c r="D1778" s="1">
        <v>41639</v>
      </c>
      <c r="E1778" t="s">
        <v>5821</v>
      </c>
      <c r="G1778" t="s">
        <v>20</v>
      </c>
      <c r="H1778" t="s">
        <v>21</v>
      </c>
      <c r="I1778" t="str">
        <f>"46256"</f>
        <v>46256</v>
      </c>
      <c r="J1778" t="s">
        <v>22</v>
      </c>
      <c r="K1778" t="s">
        <v>91</v>
      </c>
      <c r="L1778" s="2">
        <v>2099586</v>
      </c>
      <c r="M1778" s="2">
        <v>1458016</v>
      </c>
      <c r="N1778" s="2">
        <v>976</v>
      </c>
      <c r="O1778" s="2">
        <v>187703</v>
      </c>
      <c r="P1778" t="s">
        <v>24</v>
      </c>
      <c r="Q1778" t="s">
        <v>24</v>
      </c>
    </row>
    <row r="1779" spans="1:17" x14ac:dyDescent="0.25">
      <c r="A1779" t="s">
        <v>669</v>
      </c>
      <c r="B1779" t="s">
        <v>670</v>
      </c>
      <c r="E1779" t="s">
        <v>671</v>
      </c>
      <c r="G1779" t="s">
        <v>147</v>
      </c>
      <c r="H1779" t="s">
        <v>62</v>
      </c>
      <c r="I1779" t="str">
        <f>"44333"</f>
        <v>44333</v>
      </c>
      <c r="J1779" t="s">
        <v>22</v>
      </c>
      <c r="K1779" t="s">
        <v>23</v>
      </c>
      <c r="L1779" s="2">
        <v>2095753</v>
      </c>
      <c r="M1779" s="2">
        <v>329025</v>
      </c>
      <c r="N1779" s="2">
        <v>0</v>
      </c>
      <c r="O1779" t="s">
        <v>24</v>
      </c>
      <c r="P1779" t="s">
        <v>24</v>
      </c>
      <c r="Q1779" t="s">
        <v>24</v>
      </c>
    </row>
    <row r="1780" spans="1:17" x14ac:dyDescent="0.25">
      <c r="A1780" t="s">
        <v>6278</v>
      </c>
      <c r="B1780" t="s">
        <v>6279</v>
      </c>
      <c r="C1780" s="1">
        <v>41579</v>
      </c>
      <c r="D1780" s="1">
        <v>41943</v>
      </c>
      <c r="E1780" t="s">
        <v>1814</v>
      </c>
      <c r="G1780" t="s">
        <v>659</v>
      </c>
      <c r="H1780" t="s">
        <v>47</v>
      </c>
      <c r="I1780" t="str">
        <f>"48037"</f>
        <v>48037</v>
      </c>
      <c r="J1780" t="s">
        <v>22</v>
      </c>
      <c r="K1780" t="s">
        <v>30</v>
      </c>
      <c r="L1780" s="2">
        <v>2095384</v>
      </c>
      <c r="M1780" s="2">
        <v>1226533</v>
      </c>
      <c r="N1780" s="2">
        <v>330</v>
      </c>
      <c r="O1780" s="2">
        <v>142692</v>
      </c>
      <c r="P1780" t="s">
        <v>24</v>
      </c>
      <c r="Q1780" t="s">
        <v>24</v>
      </c>
    </row>
    <row r="1781" spans="1:17" x14ac:dyDescent="0.25">
      <c r="A1781" t="s">
        <v>2616</v>
      </c>
      <c r="B1781" t="s">
        <v>2617</v>
      </c>
      <c r="C1781" s="1">
        <v>41183</v>
      </c>
      <c r="D1781" s="1">
        <v>41547</v>
      </c>
      <c r="E1781" t="s">
        <v>50</v>
      </c>
      <c r="G1781" t="s">
        <v>28</v>
      </c>
      <c r="H1781" t="s">
        <v>29</v>
      </c>
      <c r="I1781" t="str">
        <f>"60603"</f>
        <v>60603</v>
      </c>
      <c r="J1781" t="s">
        <v>22</v>
      </c>
      <c r="K1781" t="s">
        <v>23</v>
      </c>
      <c r="L1781" s="2">
        <v>2093818</v>
      </c>
      <c r="M1781" s="2">
        <v>1258385</v>
      </c>
      <c r="N1781" s="2">
        <v>0</v>
      </c>
      <c r="O1781" s="2">
        <v>121103</v>
      </c>
      <c r="P1781" t="s">
        <v>24</v>
      </c>
      <c r="Q1781" t="s">
        <v>24</v>
      </c>
    </row>
    <row r="1782" spans="1:17" x14ac:dyDescent="0.25">
      <c r="A1782" t="s">
        <v>7140</v>
      </c>
      <c r="B1782" t="s">
        <v>7141</v>
      </c>
      <c r="C1782" s="1">
        <v>41395</v>
      </c>
      <c r="D1782" s="1">
        <v>41759</v>
      </c>
      <c r="E1782" t="s">
        <v>1535</v>
      </c>
      <c r="G1782" t="s">
        <v>41</v>
      </c>
      <c r="H1782" t="s">
        <v>42</v>
      </c>
      <c r="I1782" t="str">
        <f>"53201"</f>
        <v>53201</v>
      </c>
      <c r="J1782" t="s">
        <v>22</v>
      </c>
      <c r="K1782" t="s">
        <v>30</v>
      </c>
      <c r="L1782" s="2">
        <v>2093783</v>
      </c>
      <c r="M1782" s="2">
        <v>1823056</v>
      </c>
      <c r="N1782" s="2">
        <v>0</v>
      </c>
      <c r="O1782" s="2">
        <v>123659</v>
      </c>
      <c r="P1782" t="s">
        <v>24</v>
      </c>
      <c r="Q1782" t="s">
        <v>24</v>
      </c>
    </row>
    <row r="1783" spans="1:17" x14ac:dyDescent="0.25">
      <c r="A1783" t="s">
        <v>3576</v>
      </c>
      <c r="B1783" t="s">
        <v>3577</v>
      </c>
      <c r="C1783" s="1">
        <v>41275</v>
      </c>
      <c r="D1783" s="1">
        <v>41639</v>
      </c>
      <c r="E1783" t="s">
        <v>3578</v>
      </c>
      <c r="G1783" t="s">
        <v>3579</v>
      </c>
      <c r="H1783" t="s">
        <v>29</v>
      </c>
      <c r="I1783" t="str">
        <f>"62448"</f>
        <v>62448</v>
      </c>
      <c r="J1783" t="s">
        <v>63</v>
      </c>
      <c r="K1783" t="s">
        <v>23</v>
      </c>
      <c r="L1783" s="2">
        <v>2092588</v>
      </c>
      <c r="M1783" s="2">
        <v>79429</v>
      </c>
      <c r="N1783" s="2">
        <v>0</v>
      </c>
      <c r="O1783" s="2">
        <v>65286</v>
      </c>
      <c r="P1783" s="2">
        <v>16488</v>
      </c>
      <c r="Q1783" s="2">
        <v>0</v>
      </c>
    </row>
    <row r="1784" spans="1:17" x14ac:dyDescent="0.25">
      <c r="A1784" t="s">
        <v>5136</v>
      </c>
      <c r="B1784" t="s">
        <v>5137</v>
      </c>
      <c r="C1784" s="1">
        <v>41275</v>
      </c>
      <c r="D1784" s="1">
        <v>41639</v>
      </c>
      <c r="E1784" t="s">
        <v>5138</v>
      </c>
      <c r="G1784" t="s">
        <v>1792</v>
      </c>
      <c r="H1784" t="s">
        <v>47</v>
      </c>
      <c r="I1784" t="str">
        <f>"48304"</f>
        <v>48304</v>
      </c>
      <c r="J1784" t="s">
        <v>22</v>
      </c>
      <c r="K1784" t="s">
        <v>23</v>
      </c>
      <c r="L1784" s="2">
        <v>2091899</v>
      </c>
      <c r="M1784" s="2">
        <v>1069004</v>
      </c>
      <c r="N1784" s="2">
        <v>0</v>
      </c>
      <c r="O1784" s="2">
        <v>1156</v>
      </c>
      <c r="P1784" t="s">
        <v>24</v>
      </c>
      <c r="Q1784" t="s">
        <v>24</v>
      </c>
    </row>
    <row r="1785" spans="1:17" x14ac:dyDescent="0.25">
      <c r="A1785" t="s">
        <v>4855</v>
      </c>
      <c r="B1785" t="s">
        <v>4856</v>
      </c>
      <c r="C1785" s="1">
        <v>41275</v>
      </c>
      <c r="D1785" s="1">
        <v>41639</v>
      </c>
      <c r="E1785" t="s">
        <v>4857</v>
      </c>
      <c r="G1785" t="s">
        <v>741</v>
      </c>
      <c r="H1785" t="s">
        <v>42</v>
      </c>
      <c r="I1785" t="str">
        <f>"54307"</f>
        <v>54307</v>
      </c>
      <c r="J1785" t="s">
        <v>63</v>
      </c>
      <c r="K1785" t="s">
        <v>79</v>
      </c>
      <c r="L1785" s="2">
        <v>2091808</v>
      </c>
      <c r="M1785" s="2">
        <v>1650225</v>
      </c>
      <c r="N1785" s="2">
        <v>522407</v>
      </c>
      <c r="O1785" s="2">
        <v>931790</v>
      </c>
      <c r="P1785" s="2">
        <v>44056</v>
      </c>
      <c r="Q1785" s="2">
        <v>129884</v>
      </c>
    </row>
    <row r="1786" spans="1:17" x14ac:dyDescent="0.25">
      <c r="A1786" t="s">
        <v>5139</v>
      </c>
      <c r="B1786" t="s">
        <v>5140</v>
      </c>
      <c r="C1786" s="1">
        <v>41456</v>
      </c>
      <c r="D1786" s="1">
        <v>41820</v>
      </c>
      <c r="E1786" t="s">
        <v>5141</v>
      </c>
      <c r="G1786" t="s">
        <v>5142</v>
      </c>
      <c r="H1786" t="s">
        <v>62</v>
      </c>
      <c r="I1786" t="str">
        <f>"43713"</f>
        <v>43713</v>
      </c>
      <c r="J1786" t="s">
        <v>63</v>
      </c>
      <c r="K1786" t="s">
        <v>23</v>
      </c>
      <c r="L1786" s="2">
        <v>2091314</v>
      </c>
      <c r="M1786" s="2">
        <v>83924</v>
      </c>
      <c r="N1786" s="2">
        <v>0</v>
      </c>
      <c r="O1786" s="2">
        <v>128064</v>
      </c>
      <c r="P1786" s="2">
        <v>0</v>
      </c>
      <c r="Q1786" s="2">
        <v>0</v>
      </c>
    </row>
    <row r="1787" spans="1:17" x14ac:dyDescent="0.25">
      <c r="A1787" t="s">
        <v>4517</v>
      </c>
      <c r="B1787" t="s">
        <v>4518</v>
      </c>
      <c r="C1787" s="1">
        <v>41275</v>
      </c>
      <c r="D1787" s="1">
        <v>41639</v>
      </c>
      <c r="E1787" t="s">
        <v>4519</v>
      </c>
      <c r="G1787" t="s">
        <v>1437</v>
      </c>
      <c r="H1787" t="s">
        <v>29</v>
      </c>
      <c r="I1787" t="str">
        <f>"60077"</f>
        <v>60077</v>
      </c>
      <c r="J1787" t="s">
        <v>22</v>
      </c>
      <c r="K1787" t="s">
        <v>23</v>
      </c>
      <c r="L1787" s="2">
        <v>2090349</v>
      </c>
      <c r="M1787" s="2">
        <v>77488</v>
      </c>
      <c r="N1787" s="2">
        <v>0</v>
      </c>
      <c r="O1787" s="2">
        <v>94830</v>
      </c>
      <c r="P1787" t="s">
        <v>24</v>
      </c>
      <c r="Q1787" t="s">
        <v>24</v>
      </c>
    </row>
    <row r="1788" spans="1:17" x14ac:dyDescent="0.25">
      <c r="A1788" t="s">
        <v>7646</v>
      </c>
      <c r="B1788" t="s">
        <v>7647</v>
      </c>
      <c r="C1788" s="1">
        <v>41275</v>
      </c>
      <c r="D1788" s="1">
        <v>41639</v>
      </c>
      <c r="E1788" t="s">
        <v>7648</v>
      </c>
      <c r="G1788" t="s">
        <v>113</v>
      </c>
      <c r="H1788" t="s">
        <v>42</v>
      </c>
      <c r="I1788" t="str">
        <f>"53186"</f>
        <v>53186</v>
      </c>
      <c r="J1788" t="s">
        <v>22</v>
      </c>
      <c r="K1788" t="s">
        <v>30</v>
      </c>
      <c r="L1788" s="2">
        <v>2088544</v>
      </c>
      <c r="M1788" s="2">
        <v>3461652</v>
      </c>
      <c r="N1788" s="2">
        <v>0</v>
      </c>
      <c r="O1788" s="2">
        <v>312249</v>
      </c>
      <c r="P1788" t="s">
        <v>24</v>
      </c>
      <c r="Q1788" t="s">
        <v>24</v>
      </c>
    </row>
    <row r="1789" spans="1:17" x14ac:dyDescent="0.25">
      <c r="A1789" t="s">
        <v>3184</v>
      </c>
      <c r="B1789" t="s">
        <v>3185</v>
      </c>
      <c r="C1789" s="1">
        <v>41275</v>
      </c>
      <c r="D1789" s="1">
        <v>41639</v>
      </c>
      <c r="E1789" t="s">
        <v>3186</v>
      </c>
      <c r="G1789" t="s">
        <v>3187</v>
      </c>
      <c r="H1789" t="s">
        <v>62</v>
      </c>
      <c r="I1789" t="str">
        <f>"43055"</f>
        <v>43055</v>
      </c>
      <c r="J1789" t="s">
        <v>22</v>
      </c>
      <c r="K1789" t="s">
        <v>23</v>
      </c>
      <c r="L1789" s="2">
        <v>2088537</v>
      </c>
      <c r="M1789" s="2">
        <v>116036</v>
      </c>
      <c r="N1789" s="2">
        <v>0</v>
      </c>
      <c r="O1789" s="2">
        <v>71644</v>
      </c>
      <c r="P1789" t="s">
        <v>24</v>
      </c>
      <c r="Q1789" t="s">
        <v>24</v>
      </c>
    </row>
    <row r="1790" spans="1:17" x14ac:dyDescent="0.25">
      <c r="A1790" t="s">
        <v>5196</v>
      </c>
      <c r="B1790" t="s">
        <v>5197</v>
      </c>
      <c r="C1790" s="1">
        <v>41275</v>
      </c>
      <c r="D1790" s="1">
        <v>41639</v>
      </c>
      <c r="E1790" t="s">
        <v>5198</v>
      </c>
      <c r="G1790" t="s">
        <v>28</v>
      </c>
      <c r="H1790" t="s">
        <v>29</v>
      </c>
      <c r="I1790" t="str">
        <f>"60637"</f>
        <v>60637</v>
      </c>
      <c r="J1790" t="s">
        <v>63</v>
      </c>
      <c r="K1790" t="s">
        <v>23</v>
      </c>
      <c r="L1790" s="2">
        <v>2088081</v>
      </c>
      <c r="M1790" s="2">
        <v>289513</v>
      </c>
      <c r="N1790" s="2">
        <v>821362</v>
      </c>
      <c r="O1790" s="2">
        <v>363367</v>
      </c>
      <c r="P1790" s="2">
        <v>0</v>
      </c>
      <c r="Q1790" s="2">
        <v>0</v>
      </c>
    </row>
    <row r="1791" spans="1:17" x14ac:dyDescent="0.25">
      <c r="A1791" t="s">
        <v>5481</v>
      </c>
      <c r="B1791" t="s">
        <v>5482</v>
      </c>
      <c r="C1791" s="1">
        <v>41275</v>
      </c>
      <c r="D1791" s="1">
        <v>41639</v>
      </c>
      <c r="E1791" t="s">
        <v>5483</v>
      </c>
      <c r="G1791" t="s">
        <v>28</v>
      </c>
      <c r="H1791" t="s">
        <v>29</v>
      </c>
      <c r="I1791" t="str">
        <f>"60610"</f>
        <v>60610</v>
      </c>
      <c r="J1791" t="s">
        <v>22</v>
      </c>
      <c r="K1791" t="s">
        <v>23</v>
      </c>
      <c r="L1791" s="2">
        <v>2086118</v>
      </c>
      <c r="M1791" s="2">
        <v>589973</v>
      </c>
      <c r="N1791" s="2">
        <v>0</v>
      </c>
      <c r="O1791" s="2">
        <v>142940</v>
      </c>
      <c r="P1791" t="s">
        <v>24</v>
      </c>
      <c r="Q1791" t="s">
        <v>24</v>
      </c>
    </row>
    <row r="1792" spans="1:17" x14ac:dyDescent="0.25">
      <c r="A1792" t="s">
        <v>4177</v>
      </c>
      <c r="B1792" t="s">
        <v>4178</v>
      </c>
      <c r="C1792" s="1">
        <v>41275</v>
      </c>
      <c r="D1792" s="1">
        <v>41639</v>
      </c>
      <c r="E1792" t="s">
        <v>142</v>
      </c>
      <c r="G1792" t="s">
        <v>143</v>
      </c>
      <c r="H1792" t="s">
        <v>47</v>
      </c>
      <c r="I1792" t="str">
        <f>"48275"</f>
        <v>48275</v>
      </c>
      <c r="J1792" t="s">
        <v>22</v>
      </c>
      <c r="K1792" t="s">
        <v>30</v>
      </c>
      <c r="L1792" s="2">
        <v>2083222</v>
      </c>
      <c r="M1792" s="2">
        <v>230280</v>
      </c>
      <c r="N1792" s="2">
        <v>0</v>
      </c>
      <c r="O1792" s="2">
        <v>138917</v>
      </c>
      <c r="P1792" t="s">
        <v>24</v>
      </c>
      <c r="Q1792" t="s">
        <v>24</v>
      </c>
    </row>
    <row r="1793" spans="1:17" x14ac:dyDescent="0.25">
      <c r="A1793" t="s">
        <v>277</v>
      </c>
      <c r="B1793" t="s">
        <v>278</v>
      </c>
      <c r="C1793" s="1">
        <v>41275</v>
      </c>
      <c r="D1793" s="1">
        <v>41639</v>
      </c>
      <c r="E1793" t="s">
        <v>279</v>
      </c>
      <c r="G1793" t="s">
        <v>167</v>
      </c>
      <c r="H1793" t="s">
        <v>62</v>
      </c>
      <c r="I1793" t="str">
        <f>"45212"</f>
        <v>45212</v>
      </c>
      <c r="J1793" t="s">
        <v>22</v>
      </c>
      <c r="K1793" t="s">
        <v>79</v>
      </c>
      <c r="L1793" s="2">
        <v>2080752</v>
      </c>
      <c r="M1793" s="2">
        <v>756823</v>
      </c>
      <c r="N1793" s="2">
        <v>251</v>
      </c>
      <c r="O1793" s="2">
        <v>88433</v>
      </c>
      <c r="P1793" t="s">
        <v>24</v>
      </c>
      <c r="Q1793" t="s">
        <v>24</v>
      </c>
    </row>
    <row r="1794" spans="1:17" x14ac:dyDescent="0.25">
      <c r="A1794" t="s">
        <v>4086</v>
      </c>
      <c r="B1794" t="s">
        <v>4087</v>
      </c>
      <c r="C1794" s="1">
        <v>41275</v>
      </c>
      <c r="D1794" s="1">
        <v>41639</v>
      </c>
      <c r="E1794" t="s">
        <v>4088</v>
      </c>
      <c r="G1794" t="s">
        <v>2018</v>
      </c>
      <c r="H1794" t="s">
        <v>21</v>
      </c>
      <c r="I1794" t="str">
        <f>"46706"</f>
        <v>46706</v>
      </c>
      <c r="J1794" t="s">
        <v>22</v>
      </c>
      <c r="K1794" t="s">
        <v>30</v>
      </c>
      <c r="L1794" s="2">
        <v>2077524</v>
      </c>
      <c r="M1794" s="2">
        <v>189017</v>
      </c>
      <c r="N1794" s="2">
        <v>0</v>
      </c>
      <c r="O1794" s="2">
        <v>104631</v>
      </c>
      <c r="P1794" t="s">
        <v>24</v>
      </c>
      <c r="Q1794" t="s">
        <v>24</v>
      </c>
    </row>
    <row r="1795" spans="1:17" x14ac:dyDescent="0.25">
      <c r="A1795" t="s">
        <v>4293</v>
      </c>
      <c r="B1795" t="s">
        <v>4294</v>
      </c>
      <c r="C1795" s="1">
        <v>41091</v>
      </c>
      <c r="D1795" s="1">
        <v>41455</v>
      </c>
      <c r="E1795" t="s">
        <v>4295</v>
      </c>
      <c r="G1795" t="s">
        <v>86</v>
      </c>
      <c r="H1795" t="s">
        <v>42</v>
      </c>
      <c r="I1795" t="str">
        <f>"53703"</f>
        <v>53703</v>
      </c>
      <c r="J1795" t="s">
        <v>22</v>
      </c>
      <c r="K1795" t="s">
        <v>23</v>
      </c>
      <c r="L1795" s="2">
        <v>2076660</v>
      </c>
      <c r="M1795" s="2">
        <v>654616</v>
      </c>
      <c r="N1795" s="2">
        <v>0</v>
      </c>
      <c r="O1795" s="2">
        <v>134481</v>
      </c>
      <c r="P1795" t="s">
        <v>24</v>
      </c>
      <c r="Q1795" t="s">
        <v>24</v>
      </c>
    </row>
    <row r="1796" spans="1:17" x14ac:dyDescent="0.25">
      <c r="A1796" t="s">
        <v>1582</v>
      </c>
      <c r="B1796" t="s">
        <v>1583</v>
      </c>
      <c r="C1796" s="1">
        <v>41456</v>
      </c>
      <c r="D1796" s="1">
        <v>41820</v>
      </c>
      <c r="E1796" t="s">
        <v>1584</v>
      </c>
      <c r="G1796" t="s">
        <v>1585</v>
      </c>
      <c r="H1796" t="s">
        <v>62</v>
      </c>
      <c r="I1796" t="str">
        <f>"44833"</f>
        <v>44833</v>
      </c>
      <c r="J1796" t="s">
        <v>22</v>
      </c>
      <c r="K1796" t="s">
        <v>79</v>
      </c>
      <c r="L1796" s="2">
        <v>2073108</v>
      </c>
      <c r="M1796" s="2">
        <v>487749</v>
      </c>
      <c r="N1796" s="2">
        <v>0</v>
      </c>
      <c r="O1796" s="2">
        <v>111477</v>
      </c>
      <c r="P1796" t="s">
        <v>24</v>
      </c>
      <c r="Q1796" t="s">
        <v>24</v>
      </c>
    </row>
    <row r="1797" spans="1:17" x14ac:dyDescent="0.25">
      <c r="A1797" t="s">
        <v>2327</v>
      </c>
      <c r="B1797" t="s">
        <v>2328</v>
      </c>
      <c r="C1797" s="1">
        <v>41275</v>
      </c>
      <c r="D1797" s="1">
        <v>41639</v>
      </c>
      <c r="E1797" t="s">
        <v>1496</v>
      </c>
      <c r="G1797" t="s">
        <v>167</v>
      </c>
      <c r="H1797" t="s">
        <v>62</v>
      </c>
      <c r="I1797" t="str">
        <f>"45263"</f>
        <v>45263</v>
      </c>
      <c r="J1797" t="s">
        <v>22</v>
      </c>
      <c r="K1797" t="s">
        <v>30</v>
      </c>
      <c r="L1797" s="2">
        <v>2072769</v>
      </c>
      <c r="M1797" s="2">
        <v>865357</v>
      </c>
      <c r="N1797" s="2">
        <v>0</v>
      </c>
      <c r="O1797" s="2">
        <v>127429</v>
      </c>
      <c r="P1797" t="s">
        <v>24</v>
      </c>
      <c r="Q1797" t="s">
        <v>24</v>
      </c>
    </row>
    <row r="1798" spans="1:17" x14ac:dyDescent="0.25">
      <c r="A1798" t="s">
        <v>3909</v>
      </c>
      <c r="B1798" t="s">
        <v>3910</v>
      </c>
      <c r="C1798" s="1">
        <v>41275</v>
      </c>
      <c r="D1798" s="1">
        <v>41639</v>
      </c>
      <c r="E1798" t="s">
        <v>3911</v>
      </c>
      <c r="G1798" t="s">
        <v>237</v>
      </c>
      <c r="H1798" t="s">
        <v>42</v>
      </c>
      <c r="I1798" t="str">
        <f>"54601"</f>
        <v>54601</v>
      </c>
      <c r="J1798" t="s">
        <v>22</v>
      </c>
      <c r="K1798" t="s">
        <v>30</v>
      </c>
      <c r="L1798" s="2">
        <v>2072516</v>
      </c>
      <c r="M1798" s="2">
        <v>1156562</v>
      </c>
      <c r="N1798" s="2">
        <v>0</v>
      </c>
      <c r="O1798" s="2">
        <v>96411</v>
      </c>
      <c r="P1798" t="s">
        <v>24</v>
      </c>
      <c r="Q1798" t="s">
        <v>24</v>
      </c>
    </row>
    <row r="1799" spans="1:17" x14ac:dyDescent="0.25">
      <c r="A1799" t="s">
        <v>54</v>
      </c>
      <c r="B1799" t="s">
        <v>55</v>
      </c>
      <c r="C1799" s="1">
        <v>41609</v>
      </c>
      <c r="D1799" s="1">
        <v>41973</v>
      </c>
      <c r="E1799" t="s">
        <v>56</v>
      </c>
      <c r="G1799" t="s">
        <v>57</v>
      </c>
      <c r="H1799" t="s">
        <v>29</v>
      </c>
      <c r="I1799" t="str">
        <f>"60523"</f>
        <v>60523</v>
      </c>
      <c r="J1799" t="s">
        <v>22</v>
      </c>
      <c r="K1799" t="s">
        <v>30</v>
      </c>
      <c r="L1799" s="2">
        <v>2069759</v>
      </c>
      <c r="M1799" s="2">
        <v>465470</v>
      </c>
      <c r="N1799" s="2">
        <v>0</v>
      </c>
      <c r="O1799" s="2">
        <v>114033</v>
      </c>
      <c r="P1799" t="s">
        <v>24</v>
      </c>
      <c r="Q1799" t="s">
        <v>24</v>
      </c>
    </row>
    <row r="1800" spans="1:17" x14ac:dyDescent="0.25">
      <c r="A1800" t="s">
        <v>2158</v>
      </c>
      <c r="B1800" t="s">
        <v>2159</v>
      </c>
      <c r="C1800" s="1">
        <v>41275</v>
      </c>
      <c r="D1800" s="1">
        <v>41639</v>
      </c>
      <c r="E1800" t="s">
        <v>2160</v>
      </c>
      <c r="G1800" t="s">
        <v>865</v>
      </c>
      <c r="H1800" t="s">
        <v>29</v>
      </c>
      <c r="I1800" t="str">
        <f>"60035"</f>
        <v>60035</v>
      </c>
      <c r="J1800" t="s">
        <v>22</v>
      </c>
      <c r="K1800" t="s">
        <v>23</v>
      </c>
      <c r="L1800" s="2">
        <v>2068283</v>
      </c>
      <c r="M1800" s="2">
        <v>451083</v>
      </c>
      <c r="N1800" s="2">
        <v>0</v>
      </c>
      <c r="O1800" s="2">
        <v>119064</v>
      </c>
      <c r="P1800" t="s">
        <v>24</v>
      </c>
      <c r="Q1800" t="s">
        <v>24</v>
      </c>
    </row>
    <row r="1801" spans="1:17" x14ac:dyDescent="0.25">
      <c r="A1801" t="s">
        <v>3004</v>
      </c>
      <c r="B1801" t="s">
        <v>3005</v>
      </c>
      <c r="C1801" s="1">
        <v>41275</v>
      </c>
      <c r="D1801" s="1">
        <v>41639</v>
      </c>
      <c r="E1801" t="s">
        <v>3006</v>
      </c>
      <c r="G1801" t="s">
        <v>1111</v>
      </c>
      <c r="H1801" t="s">
        <v>47</v>
      </c>
      <c r="I1801" t="str">
        <f>"48301"</f>
        <v>48301</v>
      </c>
      <c r="J1801" t="s">
        <v>22</v>
      </c>
      <c r="K1801" t="s">
        <v>30</v>
      </c>
      <c r="L1801" s="2">
        <v>2066029</v>
      </c>
      <c r="M1801" s="2">
        <v>446715</v>
      </c>
      <c r="N1801" s="2">
        <v>81000</v>
      </c>
      <c r="O1801" s="2">
        <v>94682</v>
      </c>
      <c r="P1801" t="s">
        <v>24</v>
      </c>
      <c r="Q1801" t="s">
        <v>24</v>
      </c>
    </row>
    <row r="1802" spans="1:17" x14ac:dyDescent="0.25">
      <c r="A1802" t="s">
        <v>5415</v>
      </c>
      <c r="B1802" t="s">
        <v>5416</v>
      </c>
      <c r="C1802" s="1">
        <v>41275</v>
      </c>
      <c r="D1802" s="1">
        <v>41639</v>
      </c>
      <c r="E1802" t="s">
        <v>2489</v>
      </c>
      <c r="G1802" t="s">
        <v>2490</v>
      </c>
      <c r="H1802" t="s">
        <v>78</v>
      </c>
      <c r="I1802" t="str">
        <f>"40383"</f>
        <v>40383</v>
      </c>
      <c r="J1802" t="s">
        <v>22</v>
      </c>
      <c r="K1802" t="s">
        <v>23</v>
      </c>
      <c r="L1802" s="2">
        <v>2065888</v>
      </c>
      <c r="M1802" s="2">
        <v>913573</v>
      </c>
      <c r="N1802" s="2">
        <v>0</v>
      </c>
      <c r="O1802" s="2">
        <v>112111</v>
      </c>
      <c r="P1802" t="s">
        <v>24</v>
      </c>
      <c r="Q1802" t="s">
        <v>24</v>
      </c>
    </row>
    <row r="1803" spans="1:17" x14ac:dyDescent="0.25">
      <c r="A1803" t="s">
        <v>375</v>
      </c>
      <c r="B1803" t="s">
        <v>376</v>
      </c>
      <c r="C1803" s="1">
        <v>41275</v>
      </c>
      <c r="D1803" s="1">
        <v>41639</v>
      </c>
      <c r="E1803" t="s">
        <v>377</v>
      </c>
      <c r="G1803" t="s">
        <v>378</v>
      </c>
      <c r="H1803" t="s">
        <v>47</v>
      </c>
      <c r="I1803" t="str">
        <f>"49615"</f>
        <v>49615</v>
      </c>
      <c r="J1803" t="s">
        <v>22</v>
      </c>
      <c r="K1803" t="s">
        <v>30</v>
      </c>
      <c r="L1803" s="2">
        <v>2064810</v>
      </c>
      <c r="M1803" s="2">
        <v>469662</v>
      </c>
      <c r="N1803" s="2">
        <v>0</v>
      </c>
      <c r="O1803" s="2">
        <v>111867</v>
      </c>
      <c r="P1803" t="s">
        <v>24</v>
      </c>
      <c r="Q1803" t="s">
        <v>24</v>
      </c>
    </row>
    <row r="1804" spans="1:17" x14ac:dyDescent="0.25">
      <c r="A1804" t="s">
        <v>3572</v>
      </c>
      <c r="B1804" t="s">
        <v>3573</v>
      </c>
      <c r="C1804" s="1">
        <v>41275</v>
      </c>
      <c r="D1804" s="1">
        <v>41639</v>
      </c>
      <c r="E1804" t="s">
        <v>40</v>
      </c>
      <c r="G1804" t="s">
        <v>41</v>
      </c>
      <c r="H1804" t="s">
        <v>42</v>
      </c>
      <c r="I1804" t="str">
        <f>"53201"</f>
        <v>53201</v>
      </c>
      <c r="J1804" t="s">
        <v>63</v>
      </c>
      <c r="K1804" t="s">
        <v>30</v>
      </c>
      <c r="L1804" s="2">
        <v>2063646</v>
      </c>
      <c r="M1804" s="2">
        <v>220786</v>
      </c>
      <c r="N1804" s="2">
        <v>0</v>
      </c>
      <c r="O1804" s="2">
        <v>60945</v>
      </c>
      <c r="P1804" s="2">
        <v>26240</v>
      </c>
      <c r="Q1804" t="s">
        <v>24</v>
      </c>
    </row>
    <row r="1805" spans="1:17" x14ac:dyDescent="0.25">
      <c r="A1805" t="s">
        <v>2676</v>
      </c>
      <c r="B1805" t="s">
        <v>2677</v>
      </c>
      <c r="C1805" s="1">
        <v>41275</v>
      </c>
      <c r="D1805" s="1">
        <v>41639</v>
      </c>
      <c r="E1805" t="s">
        <v>2678</v>
      </c>
      <c r="G1805" t="s">
        <v>2679</v>
      </c>
      <c r="H1805" t="s">
        <v>42</v>
      </c>
      <c r="I1805" t="str">
        <f>"54166"</f>
        <v>54166</v>
      </c>
      <c r="J1805" t="s">
        <v>63</v>
      </c>
      <c r="K1805" t="s">
        <v>23</v>
      </c>
      <c r="L1805" s="2">
        <v>2062871</v>
      </c>
      <c r="M1805" s="2">
        <v>46223</v>
      </c>
      <c r="N1805" s="2">
        <v>1118776</v>
      </c>
      <c r="O1805" s="2">
        <v>24808</v>
      </c>
      <c r="P1805" s="2">
        <v>18906</v>
      </c>
      <c r="Q1805" s="2">
        <v>0</v>
      </c>
    </row>
    <row r="1806" spans="1:17" x14ac:dyDescent="0.25">
      <c r="A1806" t="s">
        <v>6136</v>
      </c>
      <c r="B1806" t="s">
        <v>6137</v>
      </c>
      <c r="C1806" s="1">
        <v>41275</v>
      </c>
      <c r="D1806" s="1">
        <v>41639</v>
      </c>
      <c r="E1806" t="s">
        <v>6138</v>
      </c>
      <c r="G1806" t="s">
        <v>1792</v>
      </c>
      <c r="H1806" t="s">
        <v>47</v>
      </c>
      <c r="I1806" t="str">
        <f>"48304"</f>
        <v>48304</v>
      </c>
      <c r="J1806" t="s">
        <v>22</v>
      </c>
      <c r="K1806" t="s">
        <v>30</v>
      </c>
      <c r="L1806" s="2">
        <v>2062597</v>
      </c>
      <c r="M1806" s="2">
        <v>1422810</v>
      </c>
      <c r="N1806" s="2">
        <v>0</v>
      </c>
      <c r="O1806" s="2">
        <v>143973</v>
      </c>
      <c r="P1806" t="s">
        <v>24</v>
      </c>
      <c r="Q1806" t="s">
        <v>24</v>
      </c>
    </row>
    <row r="1807" spans="1:17" x14ac:dyDescent="0.25">
      <c r="A1807" t="s">
        <v>271</v>
      </c>
      <c r="B1807" t="s">
        <v>272</v>
      </c>
      <c r="C1807" s="1">
        <v>41275</v>
      </c>
      <c r="D1807" s="1">
        <v>41639</v>
      </c>
      <c r="E1807" t="s">
        <v>273</v>
      </c>
      <c r="G1807" t="s">
        <v>28</v>
      </c>
      <c r="H1807" t="s">
        <v>29</v>
      </c>
      <c r="I1807" t="str">
        <f>"60606"</f>
        <v>60606</v>
      </c>
      <c r="J1807" t="s">
        <v>22</v>
      </c>
      <c r="K1807" t="s">
        <v>23</v>
      </c>
      <c r="L1807" s="2">
        <v>2059881</v>
      </c>
      <c r="M1807" s="2">
        <v>228684</v>
      </c>
      <c r="N1807" s="2">
        <v>0</v>
      </c>
      <c r="O1807" s="2">
        <v>99977</v>
      </c>
      <c r="P1807" t="s">
        <v>24</v>
      </c>
      <c r="Q1807" t="s">
        <v>24</v>
      </c>
    </row>
    <row r="1808" spans="1:17" x14ac:dyDescent="0.25">
      <c r="A1808" t="s">
        <v>4466</v>
      </c>
      <c r="B1808" t="s">
        <v>4467</v>
      </c>
      <c r="E1808" t="s">
        <v>4468</v>
      </c>
      <c r="G1808" t="s">
        <v>337</v>
      </c>
      <c r="H1808" t="s">
        <v>62</v>
      </c>
      <c r="I1808" t="str">
        <f>"44114"</f>
        <v>44114</v>
      </c>
      <c r="J1808" t="s">
        <v>22</v>
      </c>
      <c r="K1808" t="s">
        <v>23</v>
      </c>
      <c r="L1808" s="2">
        <v>2053512</v>
      </c>
      <c r="M1808" s="2">
        <v>396305</v>
      </c>
      <c r="N1808" s="2">
        <v>0</v>
      </c>
      <c r="O1808" t="s">
        <v>24</v>
      </c>
      <c r="P1808" t="s">
        <v>24</v>
      </c>
      <c r="Q1808" t="s">
        <v>24</v>
      </c>
    </row>
    <row r="1809" spans="1:17" x14ac:dyDescent="0.25">
      <c r="A1809" t="s">
        <v>5664</v>
      </c>
      <c r="B1809" t="s">
        <v>5665</v>
      </c>
      <c r="C1809" s="1">
        <v>41275</v>
      </c>
      <c r="D1809" s="1">
        <v>41639</v>
      </c>
      <c r="E1809" t="s">
        <v>5666</v>
      </c>
      <c r="G1809" t="s">
        <v>1189</v>
      </c>
      <c r="H1809" t="s">
        <v>29</v>
      </c>
      <c r="I1809" t="str">
        <f>"60521"</f>
        <v>60521</v>
      </c>
      <c r="J1809" t="s">
        <v>22</v>
      </c>
      <c r="K1809" t="s">
        <v>23</v>
      </c>
      <c r="L1809" s="2">
        <v>2051535</v>
      </c>
      <c r="M1809" s="2">
        <v>493299</v>
      </c>
      <c r="N1809" s="2">
        <v>0</v>
      </c>
      <c r="O1809" s="2">
        <v>98789</v>
      </c>
      <c r="P1809" t="s">
        <v>24</v>
      </c>
      <c r="Q1809" t="s">
        <v>24</v>
      </c>
    </row>
    <row r="1810" spans="1:17" x14ac:dyDescent="0.25">
      <c r="A1810" t="s">
        <v>1423</v>
      </c>
      <c r="B1810" t="s">
        <v>1424</v>
      </c>
      <c r="C1810" s="1">
        <v>41275</v>
      </c>
      <c r="D1810" s="1">
        <v>41639</v>
      </c>
      <c r="E1810" t="s">
        <v>1425</v>
      </c>
      <c r="G1810" t="s">
        <v>337</v>
      </c>
      <c r="H1810" t="s">
        <v>62</v>
      </c>
      <c r="I1810" t="str">
        <f>"44124"</f>
        <v>44124</v>
      </c>
      <c r="J1810" t="s">
        <v>22</v>
      </c>
      <c r="K1810" t="s">
        <v>23</v>
      </c>
      <c r="L1810" s="2">
        <v>2047778</v>
      </c>
      <c r="M1810" s="2">
        <v>79625</v>
      </c>
      <c r="N1810" s="2">
        <v>0</v>
      </c>
      <c r="O1810" s="2">
        <v>48482</v>
      </c>
      <c r="P1810" t="s">
        <v>24</v>
      </c>
      <c r="Q1810" t="s">
        <v>24</v>
      </c>
    </row>
    <row r="1811" spans="1:17" x14ac:dyDescent="0.25">
      <c r="A1811" t="s">
        <v>5578</v>
      </c>
      <c r="B1811" t="s">
        <v>5579</v>
      </c>
      <c r="C1811" s="1">
        <v>41275</v>
      </c>
      <c r="D1811" s="1">
        <v>41639</v>
      </c>
      <c r="E1811" t="s">
        <v>5580</v>
      </c>
      <c r="G1811" t="s">
        <v>3115</v>
      </c>
      <c r="H1811" t="s">
        <v>29</v>
      </c>
      <c r="I1811" t="str">
        <f>"60083"</f>
        <v>60083</v>
      </c>
      <c r="J1811" t="s">
        <v>22</v>
      </c>
      <c r="K1811" t="s">
        <v>79</v>
      </c>
      <c r="L1811" s="2">
        <v>2046007</v>
      </c>
      <c r="M1811" s="2">
        <v>867039</v>
      </c>
      <c r="N1811" s="2">
        <v>0</v>
      </c>
      <c r="O1811" s="2">
        <v>118281</v>
      </c>
      <c r="P1811" t="s">
        <v>24</v>
      </c>
      <c r="Q1811" t="s">
        <v>24</v>
      </c>
    </row>
    <row r="1812" spans="1:17" x14ac:dyDescent="0.25">
      <c r="A1812" t="s">
        <v>3463</v>
      </c>
      <c r="B1812" t="s">
        <v>3464</v>
      </c>
      <c r="C1812" s="1">
        <v>41487</v>
      </c>
      <c r="D1812" s="1">
        <v>41851</v>
      </c>
      <c r="E1812" t="s">
        <v>3465</v>
      </c>
      <c r="G1812" t="s">
        <v>229</v>
      </c>
      <c r="H1812" t="s">
        <v>29</v>
      </c>
      <c r="I1812" t="str">
        <f>"61615"</f>
        <v>61615</v>
      </c>
      <c r="J1812" t="s">
        <v>22</v>
      </c>
      <c r="K1812" t="s">
        <v>23</v>
      </c>
      <c r="L1812" s="2">
        <v>2042470</v>
      </c>
      <c r="M1812" s="2">
        <v>44369</v>
      </c>
      <c r="N1812" s="2">
        <v>0</v>
      </c>
      <c r="O1812" s="2">
        <v>107928</v>
      </c>
      <c r="P1812" t="s">
        <v>24</v>
      </c>
      <c r="Q1812" t="s">
        <v>24</v>
      </c>
    </row>
    <row r="1813" spans="1:17" x14ac:dyDescent="0.25">
      <c r="A1813" t="s">
        <v>4975</v>
      </c>
      <c r="B1813" t="s">
        <v>4976</v>
      </c>
      <c r="C1813" s="1">
        <v>41275</v>
      </c>
      <c r="D1813" s="1">
        <v>41639</v>
      </c>
      <c r="E1813" t="s">
        <v>4977</v>
      </c>
      <c r="G1813" t="s">
        <v>2056</v>
      </c>
      <c r="H1813" t="s">
        <v>29</v>
      </c>
      <c r="I1813" t="str">
        <f>"60462"</f>
        <v>60462</v>
      </c>
      <c r="J1813" t="s">
        <v>22</v>
      </c>
      <c r="K1813" t="s">
        <v>23</v>
      </c>
      <c r="L1813" s="2">
        <v>2041879</v>
      </c>
      <c r="M1813" s="2">
        <v>1173961</v>
      </c>
      <c r="N1813" s="2">
        <v>0</v>
      </c>
      <c r="O1813" s="2">
        <v>51281</v>
      </c>
      <c r="P1813" t="s">
        <v>24</v>
      </c>
      <c r="Q1813" t="s">
        <v>24</v>
      </c>
    </row>
    <row r="1814" spans="1:17" x14ac:dyDescent="0.25">
      <c r="A1814" t="s">
        <v>5683</v>
      </c>
      <c r="B1814" t="s">
        <v>5684</v>
      </c>
      <c r="C1814" s="1">
        <v>41275</v>
      </c>
      <c r="D1814" s="1">
        <v>41639</v>
      </c>
      <c r="E1814" t="s">
        <v>5685</v>
      </c>
      <c r="G1814" t="s">
        <v>1189</v>
      </c>
      <c r="H1814" t="s">
        <v>29</v>
      </c>
      <c r="I1814" t="str">
        <f>"60521"</f>
        <v>60521</v>
      </c>
      <c r="J1814" t="s">
        <v>22</v>
      </c>
      <c r="K1814" t="s">
        <v>23</v>
      </c>
      <c r="L1814" s="2">
        <v>2041879</v>
      </c>
      <c r="M1814" s="2">
        <v>1018896</v>
      </c>
      <c r="N1814" s="2">
        <v>0</v>
      </c>
      <c r="O1814" s="2">
        <v>235871</v>
      </c>
      <c r="P1814" t="s">
        <v>24</v>
      </c>
      <c r="Q1814" t="s">
        <v>24</v>
      </c>
    </row>
    <row r="1815" spans="1:17" x14ac:dyDescent="0.25">
      <c r="A1815" t="s">
        <v>1115</v>
      </c>
      <c r="B1815" t="s">
        <v>1116</v>
      </c>
      <c r="C1815" s="1">
        <v>41548</v>
      </c>
      <c r="D1815" s="1">
        <v>41912</v>
      </c>
      <c r="E1815" t="s">
        <v>489</v>
      </c>
      <c r="G1815" t="s">
        <v>337</v>
      </c>
      <c r="H1815" t="s">
        <v>62</v>
      </c>
      <c r="I1815" t="str">
        <f>"44101"</f>
        <v>44101</v>
      </c>
      <c r="J1815" t="s">
        <v>22</v>
      </c>
      <c r="K1815" t="s">
        <v>23</v>
      </c>
      <c r="L1815" s="2">
        <v>2041326</v>
      </c>
      <c r="M1815" s="2">
        <v>161036</v>
      </c>
      <c r="N1815" s="2">
        <v>0</v>
      </c>
      <c r="O1815" s="2">
        <v>92558</v>
      </c>
      <c r="P1815" t="s">
        <v>24</v>
      </c>
      <c r="Q1815" t="s">
        <v>24</v>
      </c>
    </row>
    <row r="1816" spans="1:17" x14ac:dyDescent="0.25">
      <c r="A1816" t="s">
        <v>3569</v>
      </c>
      <c r="B1816" t="s">
        <v>3570</v>
      </c>
      <c r="C1816" s="1">
        <v>41275</v>
      </c>
      <c r="D1816" s="1">
        <v>41639</v>
      </c>
      <c r="E1816" t="s">
        <v>3571</v>
      </c>
      <c r="G1816" t="s">
        <v>139</v>
      </c>
      <c r="H1816" t="s">
        <v>47</v>
      </c>
      <c r="I1816" t="str">
        <f>"49546"</f>
        <v>49546</v>
      </c>
      <c r="J1816" t="s">
        <v>22</v>
      </c>
      <c r="K1816" t="s">
        <v>23</v>
      </c>
      <c r="L1816" s="2">
        <v>2040674</v>
      </c>
      <c r="M1816" s="2">
        <v>1491624</v>
      </c>
      <c r="N1816" s="2">
        <v>0</v>
      </c>
      <c r="O1816" s="2">
        <v>420062</v>
      </c>
      <c r="P1816" t="s">
        <v>24</v>
      </c>
      <c r="Q1816" t="s">
        <v>24</v>
      </c>
    </row>
    <row r="1817" spans="1:17" x14ac:dyDescent="0.25">
      <c r="A1817" t="s">
        <v>3508</v>
      </c>
      <c r="B1817" t="s">
        <v>3509</v>
      </c>
      <c r="C1817" s="1">
        <v>41275</v>
      </c>
      <c r="D1817" s="1">
        <v>41639</v>
      </c>
      <c r="E1817" t="s">
        <v>3510</v>
      </c>
      <c r="G1817" t="s">
        <v>865</v>
      </c>
      <c r="H1817" t="s">
        <v>29</v>
      </c>
      <c r="I1817" t="str">
        <f>"60035"</f>
        <v>60035</v>
      </c>
      <c r="J1817" t="s">
        <v>22</v>
      </c>
      <c r="K1817" t="s">
        <v>23</v>
      </c>
      <c r="L1817" s="2">
        <v>2040088</v>
      </c>
      <c r="M1817" s="2">
        <v>827960</v>
      </c>
      <c r="N1817" s="2">
        <v>0</v>
      </c>
      <c r="O1817" s="2">
        <v>453080</v>
      </c>
      <c r="P1817" t="s">
        <v>24</v>
      </c>
      <c r="Q1817" t="s">
        <v>24</v>
      </c>
    </row>
    <row r="1818" spans="1:17" x14ac:dyDescent="0.25">
      <c r="A1818" t="s">
        <v>3959</v>
      </c>
      <c r="B1818" t="s">
        <v>3960</v>
      </c>
      <c r="C1818" s="1">
        <v>41091</v>
      </c>
      <c r="D1818" s="1">
        <v>41455</v>
      </c>
      <c r="E1818" t="s">
        <v>3961</v>
      </c>
      <c r="G1818" t="s">
        <v>3962</v>
      </c>
      <c r="H1818" t="s">
        <v>62</v>
      </c>
      <c r="I1818" t="str">
        <f>"43085"</f>
        <v>43085</v>
      </c>
      <c r="J1818" t="s">
        <v>63</v>
      </c>
      <c r="K1818" t="s">
        <v>23</v>
      </c>
      <c r="L1818" s="2">
        <v>2037484</v>
      </c>
      <c r="M1818" s="2">
        <v>258714</v>
      </c>
      <c r="N1818" s="2">
        <v>5279</v>
      </c>
      <c r="O1818" s="2">
        <v>71764</v>
      </c>
      <c r="P1818" s="2">
        <v>71764</v>
      </c>
      <c r="Q1818" s="2">
        <v>0</v>
      </c>
    </row>
    <row r="1819" spans="1:17" x14ac:dyDescent="0.25">
      <c r="A1819" t="s">
        <v>1474</v>
      </c>
      <c r="B1819" t="s">
        <v>1475</v>
      </c>
      <c r="C1819" s="1">
        <v>41518</v>
      </c>
      <c r="D1819" s="1">
        <v>41882</v>
      </c>
      <c r="E1819" t="s">
        <v>1476</v>
      </c>
      <c r="G1819" t="s">
        <v>167</v>
      </c>
      <c r="H1819" t="s">
        <v>62</v>
      </c>
      <c r="I1819" t="str">
        <f>"45263"</f>
        <v>45263</v>
      </c>
      <c r="J1819" t="s">
        <v>63</v>
      </c>
      <c r="K1819" t="s">
        <v>30</v>
      </c>
      <c r="L1819" s="2">
        <v>2032741</v>
      </c>
      <c r="M1819" s="2">
        <v>388804</v>
      </c>
      <c r="N1819" s="2">
        <v>0</v>
      </c>
      <c r="O1819" s="2">
        <v>145821</v>
      </c>
      <c r="P1819" s="2">
        <v>31528</v>
      </c>
      <c r="Q1819" t="s">
        <v>24</v>
      </c>
    </row>
    <row r="1820" spans="1:17" x14ac:dyDescent="0.25">
      <c r="A1820" t="s">
        <v>4250</v>
      </c>
      <c r="B1820" t="s">
        <v>4251</v>
      </c>
      <c r="C1820" s="1">
        <v>41275</v>
      </c>
      <c r="D1820" s="1">
        <v>41639</v>
      </c>
      <c r="E1820" t="s">
        <v>4252</v>
      </c>
      <c r="G1820" t="s">
        <v>535</v>
      </c>
      <c r="H1820" t="s">
        <v>62</v>
      </c>
      <c r="I1820" t="str">
        <f>"44902"</f>
        <v>44902</v>
      </c>
      <c r="J1820" t="s">
        <v>22</v>
      </c>
      <c r="K1820" t="s">
        <v>30</v>
      </c>
      <c r="L1820" s="2">
        <v>2031851</v>
      </c>
      <c r="M1820" s="2">
        <v>115452</v>
      </c>
      <c r="N1820" s="2">
        <v>3499</v>
      </c>
      <c r="O1820" s="2">
        <v>106358</v>
      </c>
      <c r="P1820" t="s">
        <v>24</v>
      </c>
      <c r="Q1820" t="s">
        <v>24</v>
      </c>
    </row>
    <row r="1821" spans="1:17" x14ac:dyDescent="0.25">
      <c r="A1821" t="s">
        <v>2818</v>
      </c>
      <c r="B1821" t="s">
        <v>2819</v>
      </c>
      <c r="C1821" s="1">
        <v>41275</v>
      </c>
      <c r="D1821" s="1">
        <v>41639</v>
      </c>
      <c r="E1821" t="s">
        <v>2820</v>
      </c>
      <c r="G1821" t="s">
        <v>357</v>
      </c>
      <c r="H1821" t="s">
        <v>21</v>
      </c>
      <c r="I1821" t="str">
        <f>"46802"</f>
        <v>46802</v>
      </c>
      <c r="J1821" t="s">
        <v>63</v>
      </c>
      <c r="K1821" t="s">
        <v>79</v>
      </c>
      <c r="L1821" s="2">
        <v>2030149</v>
      </c>
      <c r="M1821" s="2">
        <v>216059</v>
      </c>
      <c r="N1821" s="2">
        <v>583561</v>
      </c>
      <c r="O1821" s="2">
        <v>97473</v>
      </c>
      <c r="P1821" s="2">
        <v>0</v>
      </c>
      <c r="Q1821" s="2">
        <v>0</v>
      </c>
    </row>
    <row r="1822" spans="1:17" x14ac:dyDescent="0.25">
      <c r="A1822" t="s">
        <v>6801</v>
      </c>
      <c r="B1822" t="s">
        <v>6802</v>
      </c>
      <c r="C1822" s="1">
        <v>40909</v>
      </c>
      <c r="D1822" s="1">
        <v>41274</v>
      </c>
      <c r="E1822" t="s">
        <v>6803</v>
      </c>
      <c r="G1822" t="s">
        <v>6804</v>
      </c>
      <c r="H1822" t="s">
        <v>62</v>
      </c>
      <c r="I1822" t="str">
        <f>"45701"</f>
        <v>45701</v>
      </c>
      <c r="J1822" t="s">
        <v>22</v>
      </c>
      <c r="K1822" t="s">
        <v>23</v>
      </c>
      <c r="L1822" s="2">
        <v>2029436</v>
      </c>
      <c r="M1822" s="2">
        <v>1015393</v>
      </c>
      <c r="N1822" s="2">
        <v>0</v>
      </c>
      <c r="O1822" s="2">
        <v>19824</v>
      </c>
      <c r="P1822" t="s">
        <v>24</v>
      </c>
      <c r="Q1822" t="s">
        <v>24</v>
      </c>
    </row>
    <row r="1823" spans="1:17" x14ac:dyDescent="0.25">
      <c r="A1823" t="s">
        <v>1324</v>
      </c>
      <c r="B1823" t="s">
        <v>1325</v>
      </c>
      <c r="C1823" s="1">
        <v>40909</v>
      </c>
      <c r="D1823" s="1">
        <v>41274</v>
      </c>
      <c r="E1823" t="s">
        <v>1326</v>
      </c>
      <c r="G1823" t="s">
        <v>1327</v>
      </c>
      <c r="H1823" t="s">
        <v>47</v>
      </c>
      <c r="I1823" t="str">
        <f>"48438"</f>
        <v>48438</v>
      </c>
      <c r="J1823" t="s">
        <v>22</v>
      </c>
      <c r="K1823" t="s">
        <v>30</v>
      </c>
      <c r="L1823" s="2">
        <v>2029167</v>
      </c>
      <c r="M1823" s="2">
        <v>870507</v>
      </c>
      <c r="N1823" s="2">
        <v>0</v>
      </c>
      <c r="O1823" s="2">
        <v>52818</v>
      </c>
      <c r="P1823" t="s">
        <v>24</v>
      </c>
      <c r="Q1823" t="s">
        <v>24</v>
      </c>
    </row>
    <row r="1824" spans="1:17" x14ac:dyDescent="0.25">
      <c r="A1824" t="s">
        <v>2161</v>
      </c>
      <c r="B1824" t="s">
        <v>2162</v>
      </c>
      <c r="C1824" s="1">
        <v>41275</v>
      </c>
      <c r="D1824" s="1">
        <v>41639</v>
      </c>
      <c r="E1824" t="s">
        <v>2163</v>
      </c>
      <c r="G1824" t="s">
        <v>2164</v>
      </c>
      <c r="H1824" t="s">
        <v>62</v>
      </c>
      <c r="I1824" t="str">
        <f>"44646"</f>
        <v>44646</v>
      </c>
      <c r="J1824" t="s">
        <v>22</v>
      </c>
      <c r="K1824" t="s">
        <v>23</v>
      </c>
      <c r="L1824" s="2">
        <v>2027410</v>
      </c>
      <c r="M1824" s="2">
        <v>1000654</v>
      </c>
      <c r="N1824" s="2">
        <v>0</v>
      </c>
      <c r="O1824" s="2">
        <v>600404</v>
      </c>
      <c r="P1824" t="s">
        <v>24</v>
      </c>
      <c r="Q1824" t="s">
        <v>24</v>
      </c>
    </row>
    <row r="1825" spans="1:17" x14ac:dyDescent="0.25">
      <c r="A1825" t="s">
        <v>265</v>
      </c>
      <c r="B1825" t="s">
        <v>266</v>
      </c>
      <c r="C1825" s="1">
        <v>40909</v>
      </c>
      <c r="D1825" s="1">
        <v>41274</v>
      </c>
      <c r="E1825" t="s">
        <v>142</v>
      </c>
      <c r="G1825" t="s">
        <v>143</v>
      </c>
      <c r="H1825" t="s">
        <v>47</v>
      </c>
      <c r="I1825" t="str">
        <f>"48275"</f>
        <v>48275</v>
      </c>
      <c r="J1825" t="s">
        <v>22</v>
      </c>
      <c r="K1825" t="s">
        <v>30</v>
      </c>
      <c r="L1825" s="2">
        <v>2025709</v>
      </c>
      <c r="M1825" s="2">
        <v>999167</v>
      </c>
      <c r="N1825" s="2">
        <v>0</v>
      </c>
      <c r="O1825" s="2">
        <v>145453</v>
      </c>
      <c r="P1825" t="s">
        <v>24</v>
      </c>
      <c r="Q1825" t="s">
        <v>24</v>
      </c>
    </row>
    <row r="1826" spans="1:17" x14ac:dyDescent="0.25">
      <c r="A1826" t="s">
        <v>3209</v>
      </c>
      <c r="B1826" t="s">
        <v>3210</v>
      </c>
      <c r="C1826" s="1">
        <v>41275</v>
      </c>
      <c r="D1826" s="1">
        <v>41639</v>
      </c>
      <c r="E1826" t="s">
        <v>3211</v>
      </c>
      <c r="G1826" t="s">
        <v>28</v>
      </c>
      <c r="H1826" t="s">
        <v>29</v>
      </c>
      <c r="I1826" t="str">
        <f>"60611"</f>
        <v>60611</v>
      </c>
      <c r="J1826" t="s">
        <v>63</v>
      </c>
      <c r="K1826" t="s">
        <v>64</v>
      </c>
      <c r="L1826" s="2">
        <v>2024302</v>
      </c>
      <c r="M1826" s="2">
        <v>784804</v>
      </c>
      <c r="N1826" s="2">
        <v>7500</v>
      </c>
      <c r="O1826" s="2">
        <v>326295</v>
      </c>
      <c r="P1826" s="2">
        <v>124357</v>
      </c>
      <c r="Q1826" s="2">
        <v>0</v>
      </c>
    </row>
    <row r="1827" spans="1:17" x14ac:dyDescent="0.25">
      <c r="A1827" t="s">
        <v>4750</v>
      </c>
      <c r="B1827" t="s">
        <v>4751</v>
      </c>
      <c r="C1827" s="1">
        <v>41275</v>
      </c>
      <c r="D1827" s="1">
        <v>41639</v>
      </c>
      <c r="E1827" t="s">
        <v>4752</v>
      </c>
      <c r="G1827" t="s">
        <v>4753</v>
      </c>
      <c r="H1827" t="s">
        <v>47</v>
      </c>
      <c r="I1827" t="str">
        <f>"49331"</f>
        <v>49331</v>
      </c>
      <c r="J1827" t="s">
        <v>22</v>
      </c>
      <c r="K1827" t="s">
        <v>23</v>
      </c>
      <c r="L1827" s="2">
        <v>2024244</v>
      </c>
      <c r="M1827" s="2">
        <v>3831789</v>
      </c>
      <c r="N1827" s="2">
        <v>0</v>
      </c>
      <c r="O1827" s="2">
        <v>242916</v>
      </c>
      <c r="P1827" t="s">
        <v>24</v>
      </c>
      <c r="Q1827" t="s">
        <v>24</v>
      </c>
    </row>
    <row r="1828" spans="1:17" x14ac:dyDescent="0.25">
      <c r="A1828" t="s">
        <v>1211</v>
      </c>
      <c r="B1828" t="s">
        <v>1212</v>
      </c>
      <c r="C1828" s="1">
        <v>41275</v>
      </c>
      <c r="D1828" s="1">
        <v>41639</v>
      </c>
      <c r="E1828" t="s">
        <v>1213</v>
      </c>
      <c r="G1828" t="s">
        <v>20</v>
      </c>
      <c r="H1828" t="s">
        <v>21</v>
      </c>
      <c r="I1828" t="str">
        <f>"46220"</f>
        <v>46220</v>
      </c>
      <c r="J1828" t="s">
        <v>22</v>
      </c>
      <c r="K1828" t="s">
        <v>23</v>
      </c>
      <c r="L1828" s="2">
        <v>2023219</v>
      </c>
      <c r="M1828" s="2">
        <v>733341</v>
      </c>
      <c r="N1828" s="2">
        <v>0</v>
      </c>
      <c r="O1828" s="2">
        <v>290219</v>
      </c>
      <c r="P1828" t="s">
        <v>24</v>
      </c>
      <c r="Q1828" t="s">
        <v>24</v>
      </c>
    </row>
    <row r="1829" spans="1:17" x14ac:dyDescent="0.25">
      <c r="A1829" t="s">
        <v>7381</v>
      </c>
      <c r="B1829" t="s">
        <v>7382</v>
      </c>
      <c r="C1829" s="1">
        <v>41275</v>
      </c>
      <c r="D1829" s="1">
        <v>41639</v>
      </c>
      <c r="E1829" t="s">
        <v>7383</v>
      </c>
      <c r="G1829" t="s">
        <v>28</v>
      </c>
      <c r="H1829" t="s">
        <v>29</v>
      </c>
      <c r="I1829" t="str">
        <f>"60601"</f>
        <v>60601</v>
      </c>
      <c r="J1829" t="s">
        <v>22</v>
      </c>
      <c r="K1829" t="s">
        <v>23</v>
      </c>
      <c r="L1829" s="2">
        <v>2023060</v>
      </c>
      <c r="M1829" s="2">
        <v>1550926</v>
      </c>
      <c r="N1829" s="2">
        <v>0</v>
      </c>
      <c r="O1829" s="2">
        <v>1135013</v>
      </c>
      <c r="P1829" t="s">
        <v>24</v>
      </c>
      <c r="Q1829" t="s">
        <v>24</v>
      </c>
    </row>
    <row r="1830" spans="1:17" x14ac:dyDescent="0.25">
      <c r="A1830" t="s">
        <v>5791</v>
      </c>
      <c r="B1830" t="s">
        <v>5792</v>
      </c>
      <c r="C1830" s="1">
        <v>41275</v>
      </c>
      <c r="D1830" s="1">
        <v>41639</v>
      </c>
      <c r="E1830" t="s">
        <v>5793</v>
      </c>
      <c r="G1830" t="s">
        <v>1809</v>
      </c>
      <c r="H1830" t="s">
        <v>29</v>
      </c>
      <c r="I1830" t="str">
        <f>"60045"</f>
        <v>60045</v>
      </c>
      <c r="J1830" t="s">
        <v>22</v>
      </c>
      <c r="K1830" t="s">
        <v>30</v>
      </c>
      <c r="L1830" s="2">
        <v>2019248</v>
      </c>
      <c r="M1830" s="2">
        <v>488478</v>
      </c>
      <c r="N1830" s="2">
        <v>0</v>
      </c>
      <c r="O1830" s="2">
        <v>95676</v>
      </c>
      <c r="P1830" t="s">
        <v>24</v>
      </c>
      <c r="Q1830" t="s">
        <v>24</v>
      </c>
    </row>
    <row r="1831" spans="1:17" x14ac:dyDescent="0.25">
      <c r="A1831" t="s">
        <v>2048</v>
      </c>
      <c r="B1831" t="s">
        <v>2049</v>
      </c>
      <c r="C1831" s="1">
        <v>41275</v>
      </c>
      <c r="D1831" s="1">
        <v>41639</v>
      </c>
      <c r="E1831" t="s">
        <v>104</v>
      </c>
      <c r="G1831" t="s">
        <v>28</v>
      </c>
      <c r="H1831" t="s">
        <v>29</v>
      </c>
      <c r="I1831" t="str">
        <f>"60680"</f>
        <v>60680</v>
      </c>
      <c r="J1831" t="s">
        <v>22</v>
      </c>
      <c r="K1831" t="s">
        <v>23</v>
      </c>
      <c r="L1831" s="2">
        <v>2015748</v>
      </c>
      <c r="M1831" s="2">
        <v>44382</v>
      </c>
      <c r="N1831" s="2">
        <v>0</v>
      </c>
      <c r="O1831" s="2">
        <v>71494</v>
      </c>
      <c r="P1831" t="s">
        <v>24</v>
      </c>
      <c r="Q1831" t="s">
        <v>24</v>
      </c>
    </row>
    <row r="1832" spans="1:17" x14ac:dyDescent="0.25">
      <c r="A1832" t="s">
        <v>1982</v>
      </c>
      <c r="B1832" t="s">
        <v>1983</v>
      </c>
      <c r="C1832" s="1">
        <v>41275</v>
      </c>
      <c r="D1832" s="1">
        <v>41639</v>
      </c>
      <c r="E1832" t="s">
        <v>1984</v>
      </c>
      <c r="G1832" t="s">
        <v>160</v>
      </c>
      <c r="H1832" t="s">
        <v>78</v>
      </c>
      <c r="I1832" t="str">
        <f>"40503"</f>
        <v>40503</v>
      </c>
      <c r="J1832" t="s">
        <v>22</v>
      </c>
      <c r="K1832" t="s">
        <v>23</v>
      </c>
      <c r="L1832" s="2">
        <v>2010853</v>
      </c>
      <c r="M1832" s="2">
        <v>269343</v>
      </c>
      <c r="N1832" s="2">
        <v>0</v>
      </c>
      <c r="O1832" s="2">
        <v>284479</v>
      </c>
      <c r="P1832" t="s">
        <v>24</v>
      </c>
      <c r="Q1832" t="s">
        <v>24</v>
      </c>
    </row>
    <row r="1833" spans="1:17" x14ac:dyDescent="0.25">
      <c r="A1833" t="s">
        <v>532</v>
      </c>
      <c r="B1833" t="s">
        <v>533</v>
      </c>
      <c r="C1833" s="1">
        <v>41275</v>
      </c>
      <c r="D1833" s="1">
        <v>41639</v>
      </c>
      <c r="E1833" t="s">
        <v>534</v>
      </c>
      <c r="G1833" t="s">
        <v>535</v>
      </c>
      <c r="H1833" t="s">
        <v>62</v>
      </c>
      <c r="I1833" t="str">
        <f>"44901"</f>
        <v>44901</v>
      </c>
      <c r="J1833" t="s">
        <v>22</v>
      </c>
      <c r="K1833" t="s">
        <v>23</v>
      </c>
      <c r="L1833" s="2">
        <v>2006043</v>
      </c>
      <c r="M1833" s="2">
        <v>441169</v>
      </c>
      <c r="N1833" s="2">
        <v>0</v>
      </c>
      <c r="O1833" s="2">
        <v>173390</v>
      </c>
      <c r="P1833" t="s">
        <v>24</v>
      </c>
      <c r="Q1833" t="s">
        <v>24</v>
      </c>
    </row>
    <row r="1834" spans="1:17" x14ac:dyDescent="0.25">
      <c r="A1834" t="s">
        <v>5113</v>
      </c>
      <c r="B1834" t="s">
        <v>5114</v>
      </c>
      <c r="C1834" s="1">
        <v>41275</v>
      </c>
      <c r="D1834" s="1">
        <v>41639</v>
      </c>
      <c r="E1834" t="s">
        <v>750</v>
      </c>
      <c r="G1834" t="s">
        <v>751</v>
      </c>
      <c r="H1834" t="s">
        <v>62</v>
      </c>
      <c r="I1834" t="str">
        <f>"44144"</f>
        <v>44144</v>
      </c>
      <c r="J1834" t="s">
        <v>63</v>
      </c>
      <c r="K1834" t="s">
        <v>23</v>
      </c>
      <c r="L1834" s="2">
        <v>2001868</v>
      </c>
      <c r="M1834" s="2">
        <v>147346</v>
      </c>
      <c r="N1834" s="2">
        <v>0</v>
      </c>
      <c r="O1834" s="2">
        <v>132004</v>
      </c>
      <c r="P1834" s="2">
        <v>18887</v>
      </c>
      <c r="Q1834" t="s">
        <v>24</v>
      </c>
    </row>
    <row r="1835" spans="1:17" x14ac:dyDescent="0.25">
      <c r="A1835" t="s">
        <v>4488</v>
      </c>
      <c r="B1835" t="s">
        <v>4489</v>
      </c>
      <c r="C1835" s="1">
        <v>41275</v>
      </c>
      <c r="D1835" s="1">
        <v>41639</v>
      </c>
      <c r="E1835" t="s">
        <v>489</v>
      </c>
      <c r="G1835" t="s">
        <v>337</v>
      </c>
      <c r="H1835" t="s">
        <v>62</v>
      </c>
      <c r="I1835" t="str">
        <f>"44101"</f>
        <v>44101</v>
      </c>
      <c r="J1835" t="s">
        <v>22</v>
      </c>
      <c r="K1835" t="s">
        <v>79</v>
      </c>
      <c r="L1835" s="2">
        <v>2001360</v>
      </c>
      <c r="M1835" s="2">
        <v>406199</v>
      </c>
      <c r="N1835" s="2">
        <v>0</v>
      </c>
      <c r="O1835" s="2">
        <v>70061</v>
      </c>
      <c r="P1835" t="s">
        <v>24</v>
      </c>
      <c r="Q1835" t="s">
        <v>24</v>
      </c>
    </row>
    <row r="1836" spans="1:17" x14ac:dyDescent="0.25">
      <c r="A1836" t="s">
        <v>780</v>
      </c>
      <c r="B1836" t="s">
        <v>781</v>
      </c>
      <c r="C1836" s="1">
        <v>41275</v>
      </c>
      <c r="D1836" s="1">
        <v>41639</v>
      </c>
      <c r="E1836" t="s">
        <v>782</v>
      </c>
      <c r="G1836" t="s">
        <v>783</v>
      </c>
      <c r="H1836" t="s">
        <v>21</v>
      </c>
      <c r="I1836" t="str">
        <f>"46033"</f>
        <v>46033</v>
      </c>
      <c r="J1836" t="s">
        <v>22</v>
      </c>
      <c r="K1836" t="s">
        <v>30</v>
      </c>
      <c r="L1836" s="2">
        <v>1997514</v>
      </c>
      <c r="M1836" s="2">
        <v>448872</v>
      </c>
      <c r="N1836" s="2">
        <v>0</v>
      </c>
      <c r="O1836" s="2">
        <v>101330</v>
      </c>
      <c r="P1836" t="s">
        <v>24</v>
      </c>
      <c r="Q1836" t="s">
        <v>24</v>
      </c>
    </row>
    <row r="1837" spans="1:17" x14ac:dyDescent="0.25">
      <c r="A1837" t="s">
        <v>1731</v>
      </c>
      <c r="B1837" t="s">
        <v>1732</v>
      </c>
      <c r="C1837" s="1">
        <v>41275</v>
      </c>
      <c r="D1837" s="1">
        <v>41639</v>
      </c>
      <c r="E1837" t="s">
        <v>50</v>
      </c>
      <c r="G1837" t="s">
        <v>28</v>
      </c>
      <c r="H1837" t="s">
        <v>29</v>
      </c>
      <c r="I1837" t="str">
        <f>"60603"</f>
        <v>60603</v>
      </c>
      <c r="J1837" t="s">
        <v>22</v>
      </c>
      <c r="K1837" t="s">
        <v>30</v>
      </c>
      <c r="L1837" s="2">
        <v>1996802</v>
      </c>
      <c r="M1837" s="2">
        <v>410156</v>
      </c>
      <c r="N1837" s="2">
        <v>0</v>
      </c>
      <c r="O1837" s="2">
        <v>57731</v>
      </c>
      <c r="P1837" t="s">
        <v>24</v>
      </c>
      <c r="Q1837" t="s">
        <v>24</v>
      </c>
    </row>
    <row r="1838" spans="1:17" x14ac:dyDescent="0.25">
      <c r="A1838" t="s">
        <v>5171</v>
      </c>
      <c r="B1838" t="s">
        <v>5172</v>
      </c>
      <c r="C1838" s="1">
        <v>41275</v>
      </c>
      <c r="D1838" s="1">
        <v>41639</v>
      </c>
      <c r="E1838" t="s">
        <v>5173</v>
      </c>
      <c r="G1838" t="s">
        <v>28</v>
      </c>
      <c r="H1838" t="s">
        <v>29</v>
      </c>
      <c r="I1838" t="str">
        <f>"60610"</f>
        <v>60610</v>
      </c>
      <c r="J1838" t="s">
        <v>22</v>
      </c>
      <c r="K1838" t="s">
        <v>30</v>
      </c>
      <c r="L1838" s="2">
        <v>1996210</v>
      </c>
      <c r="M1838" s="2">
        <v>1353855</v>
      </c>
      <c r="N1838" s="2">
        <v>30</v>
      </c>
      <c r="O1838" s="2">
        <v>326869</v>
      </c>
      <c r="P1838" t="s">
        <v>24</v>
      </c>
      <c r="Q1838" t="s">
        <v>24</v>
      </c>
    </row>
    <row r="1839" spans="1:17" x14ac:dyDescent="0.25">
      <c r="A1839" t="s">
        <v>4380</v>
      </c>
      <c r="B1839" t="s">
        <v>4381</v>
      </c>
      <c r="C1839" s="1">
        <v>40909</v>
      </c>
      <c r="D1839" s="1">
        <v>41274</v>
      </c>
      <c r="E1839" t="s">
        <v>4382</v>
      </c>
      <c r="G1839" t="s">
        <v>865</v>
      </c>
      <c r="H1839" t="s">
        <v>29</v>
      </c>
      <c r="I1839" t="str">
        <f>"60035"</f>
        <v>60035</v>
      </c>
      <c r="J1839" t="s">
        <v>22</v>
      </c>
      <c r="K1839" t="s">
        <v>30</v>
      </c>
      <c r="L1839" s="2">
        <v>1995233</v>
      </c>
      <c r="M1839" s="2">
        <v>1332524</v>
      </c>
      <c r="N1839" s="2">
        <v>0</v>
      </c>
      <c r="O1839" s="2">
        <v>168084</v>
      </c>
      <c r="P1839" t="s">
        <v>24</v>
      </c>
      <c r="Q1839" t="s">
        <v>24</v>
      </c>
    </row>
    <row r="1840" spans="1:17" x14ac:dyDescent="0.25">
      <c r="A1840" t="s">
        <v>5675</v>
      </c>
      <c r="B1840" t="s">
        <v>5676</v>
      </c>
      <c r="C1840" s="1">
        <v>41275</v>
      </c>
      <c r="D1840" s="1">
        <v>41639</v>
      </c>
      <c r="E1840" t="s">
        <v>2571</v>
      </c>
      <c r="G1840" t="s">
        <v>428</v>
      </c>
      <c r="H1840" t="s">
        <v>29</v>
      </c>
      <c r="I1840" t="str">
        <f>"60178"</f>
        <v>60178</v>
      </c>
      <c r="J1840" t="s">
        <v>22</v>
      </c>
      <c r="K1840" t="s">
        <v>23</v>
      </c>
      <c r="L1840" s="2">
        <v>1992111</v>
      </c>
      <c r="M1840" s="2">
        <v>991691</v>
      </c>
      <c r="N1840" s="2">
        <v>0</v>
      </c>
      <c r="O1840" s="2">
        <v>104460</v>
      </c>
      <c r="P1840" t="s">
        <v>24</v>
      </c>
      <c r="Q1840" t="s">
        <v>24</v>
      </c>
    </row>
    <row r="1841" spans="1:17" x14ac:dyDescent="0.25">
      <c r="A1841" t="s">
        <v>372</v>
      </c>
      <c r="B1841" t="s">
        <v>373</v>
      </c>
      <c r="C1841" s="1">
        <v>41275</v>
      </c>
      <c r="D1841" s="1">
        <v>41639</v>
      </c>
      <c r="E1841" t="s">
        <v>374</v>
      </c>
      <c r="G1841" t="s">
        <v>167</v>
      </c>
      <c r="H1841" t="s">
        <v>62</v>
      </c>
      <c r="I1841" t="str">
        <f>"45202"</f>
        <v>45202</v>
      </c>
      <c r="J1841" t="s">
        <v>22</v>
      </c>
      <c r="K1841" t="s">
        <v>23</v>
      </c>
      <c r="L1841" s="2">
        <v>1990121</v>
      </c>
      <c r="M1841" s="2">
        <v>941591</v>
      </c>
      <c r="N1841" s="2">
        <v>0</v>
      </c>
      <c r="O1841" s="2">
        <v>146319</v>
      </c>
      <c r="P1841" t="s">
        <v>24</v>
      </c>
      <c r="Q1841" t="s">
        <v>24</v>
      </c>
    </row>
    <row r="1842" spans="1:17" x14ac:dyDescent="0.25">
      <c r="A1842" t="s">
        <v>6272</v>
      </c>
      <c r="B1842" t="s">
        <v>6273</v>
      </c>
      <c r="C1842" s="1">
        <v>41579</v>
      </c>
      <c r="D1842" s="1">
        <v>41943</v>
      </c>
      <c r="E1842" t="s">
        <v>6274</v>
      </c>
      <c r="G1842" t="s">
        <v>2799</v>
      </c>
      <c r="H1842" t="s">
        <v>29</v>
      </c>
      <c r="I1842" t="str">
        <f>"60091"</f>
        <v>60091</v>
      </c>
      <c r="J1842" t="s">
        <v>22</v>
      </c>
      <c r="K1842" t="s">
        <v>30</v>
      </c>
      <c r="L1842" s="2">
        <v>1989173</v>
      </c>
      <c r="M1842" s="2">
        <v>1108994</v>
      </c>
      <c r="N1842" s="2">
        <v>0</v>
      </c>
      <c r="O1842" s="2">
        <v>10985</v>
      </c>
      <c r="P1842" t="s">
        <v>24</v>
      </c>
      <c r="Q1842" t="s">
        <v>24</v>
      </c>
    </row>
    <row r="1843" spans="1:17" x14ac:dyDescent="0.25">
      <c r="A1843" t="s">
        <v>2878</v>
      </c>
      <c r="B1843" t="s">
        <v>2879</v>
      </c>
      <c r="E1843" t="s">
        <v>2880</v>
      </c>
      <c r="G1843" t="s">
        <v>1678</v>
      </c>
      <c r="H1843" t="s">
        <v>62</v>
      </c>
      <c r="I1843" t="str">
        <f>"44139"</f>
        <v>44139</v>
      </c>
      <c r="J1843" t="s">
        <v>22</v>
      </c>
      <c r="K1843" t="s">
        <v>23</v>
      </c>
      <c r="L1843" s="2">
        <v>1987613</v>
      </c>
      <c r="M1843" s="2">
        <v>1424744</v>
      </c>
      <c r="N1843" s="2">
        <v>0</v>
      </c>
      <c r="O1843" t="s">
        <v>24</v>
      </c>
      <c r="P1843" t="s">
        <v>24</v>
      </c>
      <c r="Q1843" t="s">
        <v>24</v>
      </c>
    </row>
    <row r="1844" spans="1:17" x14ac:dyDescent="0.25">
      <c r="A1844" t="s">
        <v>151</v>
      </c>
      <c r="B1844" t="s">
        <v>152</v>
      </c>
      <c r="C1844" s="1">
        <v>41609</v>
      </c>
      <c r="D1844" s="1">
        <v>41973</v>
      </c>
      <c r="E1844" t="s">
        <v>153</v>
      </c>
      <c r="G1844" t="s">
        <v>86</v>
      </c>
      <c r="H1844" t="s">
        <v>42</v>
      </c>
      <c r="I1844" t="str">
        <f>"53703"</f>
        <v>53703</v>
      </c>
      <c r="J1844" t="s">
        <v>22</v>
      </c>
      <c r="K1844" t="s">
        <v>23</v>
      </c>
      <c r="L1844" s="2">
        <v>1987031</v>
      </c>
      <c r="M1844" s="2">
        <v>71578</v>
      </c>
      <c r="N1844" s="2">
        <v>0</v>
      </c>
      <c r="O1844" s="2">
        <v>72804</v>
      </c>
      <c r="P1844" t="s">
        <v>24</v>
      </c>
      <c r="Q1844" t="s">
        <v>24</v>
      </c>
    </row>
    <row r="1845" spans="1:17" x14ac:dyDescent="0.25">
      <c r="A1845" t="s">
        <v>1766</v>
      </c>
      <c r="B1845" t="s">
        <v>1767</v>
      </c>
      <c r="C1845" s="1">
        <v>41456</v>
      </c>
      <c r="D1845" s="1">
        <v>41820</v>
      </c>
      <c r="E1845" t="s">
        <v>1768</v>
      </c>
      <c r="G1845" t="s">
        <v>28</v>
      </c>
      <c r="H1845" t="s">
        <v>29</v>
      </c>
      <c r="I1845" t="str">
        <f>"60603"</f>
        <v>60603</v>
      </c>
      <c r="J1845" t="s">
        <v>22</v>
      </c>
      <c r="K1845" t="s">
        <v>30</v>
      </c>
      <c r="L1845" s="2">
        <v>1983778</v>
      </c>
      <c r="M1845" s="2">
        <v>1513649</v>
      </c>
      <c r="N1845" s="2">
        <v>0</v>
      </c>
      <c r="O1845" s="2">
        <v>102654</v>
      </c>
      <c r="P1845" t="s">
        <v>24</v>
      </c>
      <c r="Q1845" t="s">
        <v>24</v>
      </c>
    </row>
    <row r="1846" spans="1:17" x14ac:dyDescent="0.25">
      <c r="A1846" t="s">
        <v>1522</v>
      </c>
      <c r="B1846" t="s">
        <v>1523</v>
      </c>
      <c r="C1846" s="1">
        <v>41456</v>
      </c>
      <c r="D1846" s="1">
        <v>41820</v>
      </c>
      <c r="E1846" t="s">
        <v>1524</v>
      </c>
      <c r="G1846" t="s">
        <v>1525</v>
      </c>
      <c r="H1846" t="s">
        <v>42</v>
      </c>
      <c r="I1846" t="str">
        <f>"53549"</f>
        <v>53549</v>
      </c>
      <c r="J1846" t="s">
        <v>63</v>
      </c>
      <c r="K1846" t="s">
        <v>64</v>
      </c>
      <c r="L1846" s="2">
        <v>1983138</v>
      </c>
      <c r="M1846" s="2">
        <v>607434</v>
      </c>
      <c r="N1846" s="2">
        <v>0</v>
      </c>
      <c r="O1846" s="2">
        <v>259580</v>
      </c>
      <c r="P1846" s="2">
        <v>10482</v>
      </c>
      <c r="Q1846" s="2">
        <v>0</v>
      </c>
    </row>
    <row r="1847" spans="1:17" x14ac:dyDescent="0.25">
      <c r="A1847" t="s">
        <v>2977</v>
      </c>
      <c r="B1847" t="s">
        <v>2978</v>
      </c>
      <c r="C1847" s="1">
        <v>41456</v>
      </c>
      <c r="D1847" s="1">
        <v>41820</v>
      </c>
      <c r="E1847" t="s">
        <v>678</v>
      </c>
      <c r="G1847" t="s">
        <v>28</v>
      </c>
      <c r="H1847" t="s">
        <v>29</v>
      </c>
      <c r="I1847" t="str">
        <f>"60603"</f>
        <v>60603</v>
      </c>
      <c r="J1847" t="s">
        <v>22</v>
      </c>
      <c r="K1847" t="s">
        <v>23</v>
      </c>
      <c r="L1847" s="2">
        <v>1982443</v>
      </c>
      <c r="M1847" s="2">
        <v>140160</v>
      </c>
      <c r="N1847" s="2">
        <v>0</v>
      </c>
      <c r="O1847" s="2">
        <v>117794</v>
      </c>
      <c r="P1847" t="s">
        <v>24</v>
      </c>
      <c r="Q1847" t="s">
        <v>24</v>
      </c>
    </row>
    <row r="1848" spans="1:17" x14ac:dyDescent="0.25">
      <c r="A1848" t="s">
        <v>1862</v>
      </c>
      <c r="B1848" t="s">
        <v>1863</v>
      </c>
      <c r="C1848" s="1">
        <v>41334</v>
      </c>
      <c r="D1848" s="1">
        <v>41698</v>
      </c>
      <c r="E1848" t="s">
        <v>142</v>
      </c>
      <c r="G1848" t="s">
        <v>143</v>
      </c>
      <c r="H1848" t="s">
        <v>47</v>
      </c>
      <c r="I1848" t="str">
        <f>"48275"</f>
        <v>48275</v>
      </c>
      <c r="J1848" t="s">
        <v>22</v>
      </c>
      <c r="K1848" t="s">
        <v>23</v>
      </c>
      <c r="L1848" s="2">
        <v>1982061</v>
      </c>
      <c r="M1848" s="2">
        <v>240969</v>
      </c>
      <c r="N1848" s="2">
        <v>0</v>
      </c>
      <c r="O1848" s="2">
        <v>133402</v>
      </c>
      <c r="P1848" t="s">
        <v>24</v>
      </c>
      <c r="Q1848" t="s">
        <v>24</v>
      </c>
    </row>
    <row r="1849" spans="1:17" x14ac:dyDescent="0.25">
      <c r="A1849" t="s">
        <v>4262</v>
      </c>
      <c r="B1849" t="s">
        <v>4263</v>
      </c>
      <c r="C1849" s="1">
        <v>41275</v>
      </c>
      <c r="D1849" s="1">
        <v>41639</v>
      </c>
      <c r="E1849" t="s">
        <v>4264</v>
      </c>
      <c r="G1849" t="s">
        <v>307</v>
      </c>
      <c r="H1849" t="s">
        <v>29</v>
      </c>
      <c r="I1849" t="str">
        <f>"60993"</f>
        <v>60993</v>
      </c>
      <c r="J1849" t="s">
        <v>22</v>
      </c>
      <c r="K1849" t="s">
        <v>30</v>
      </c>
      <c r="L1849" s="2">
        <v>1981276</v>
      </c>
      <c r="M1849" s="2">
        <v>540871</v>
      </c>
      <c r="N1849" s="2">
        <v>0</v>
      </c>
      <c r="O1849" s="2">
        <v>124345</v>
      </c>
      <c r="P1849" t="s">
        <v>24</v>
      </c>
      <c r="Q1849" t="s">
        <v>24</v>
      </c>
    </row>
    <row r="1850" spans="1:17" x14ac:dyDescent="0.25">
      <c r="A1850" t="s">
        <v>2970</v>
      </c>
      <c r="B1850" t="s">
        <v>2971</v>
      </c>
      <c r="C1850" s="1">
        <v>41275</v>
      </c>
      <c r="D1850" s="1">
        <v>41639</v>
      </c>
      <c r="E1850" t="s">
        <v>2972</v>
      </c>
      <c r="G1850" t="s">
        <v>1470</v>
      </c>
      <c r="H1850" t="s">
        <v>78</v>
      </c>
      <c r="I1850" t="str">
        <f>"41071"</f>
        <v>41071</v>
      </c>
      <c r="J1850" t="s">
        <v>22</v>
      </c>
      <c r="K1850" t="s">
        <v>30</v>
      </c>
      <c r="L1850" s="2">
        <v>1979860</v>
      </c>
      <c r="M1850" s="2">
        <v>2179476</v>
      </c>
      <c r="N1850" s="2">
        <v>1962</v>
      </c>
      <c r="O1850" s="2">
        <v>174795</v>
      </c>
      <c r="P1850" t="s">
        <v>24</v>
      </c>
      <c r="Q1850" t="s">
        <v>24</v>
      </c>
    </row>
    <row r="1851" spans="1:17" x14ac:dyDescent="0.25">
      <c r="A1851" t="s">
        <v>4445</v>
      </c>
      <c r="B1851" t="s">
        <v>4446</v>
      </c>
      <c r="C1851" s="1">
        <v>41275</v>
      </c>
      <c r="D1851" s="1">
        <v>41639</v>
      </c>
      <c r="E1851" t="s">
        <v>4447</v>
      </c>
      <c r="G1851" t="s">
        <v>659</v>
      </c>
      <c r="H1851" t="s">
        <v>47</v>
      </c>
      <c r="I1851" t="str">
        <f>"48033"</f>
        <v>48033</v>
      </c>
      <c r="J1851" t="s">
        <v>63</v>
      </c>
      <c r="K1851" t="s">
        <v>64</v>
      </c>
      <c r="L1851" s="2">
        <v>1977886</v>
      </c>
      <c r="M1851" s="2">
        <v>78057</v>
      </c>
      <c r="N1851" s="2">
        <v>0</v>
      </c>
      <c r="O1851" s="2">
        <v>130822</v>
      </c>
      <c r="P1851" s="2">
        <v>5701</v>
      </c>
      <c r="Q1851" s="2">
        <v>0</v>
      </c>
    </row>
    <row r="1852" spans="1:17" x14ac:dyDescent="0.25">
      <c r="A1852" t="s">
        <v>3713</v>
      </c>
      <c r="B1852" t="s">
        <v>3714</v>
      </c>
      <c r="C1852" s="1">
        <v>40909</v>
      </c>
      <c r="D1852" s="1">
        <v>41274</v>
      </c>
      <c r="E1852" t="s">
        <v>828</v>
      </c>
      <c r="G1852" t="s">
        <v>829</v>
      </c>
      <c r="H1852" t="s">
        <v>62</v>
      </c>
      <c r="I1852" t="str">
        <f>"43604"</f>
        <v>43604</v>
      </c>
      <c r="J1852" t="s">
        <v>22</v>
      </c>
      <c r="K1852" t="s">
        <v>30</v>
      </c>
      <c r="L1852" s="2">
        <v>1977510</v>
      </c>
      <c r="M1852" s="2">
        <v>1003331</v>
      </c>
      <c r="N1852" s="2">
        <v>0</v>
      </c>
      <c r="O1852" s="2">
        <v>528195</v>
      </c>
      <c r="P1852" t="s">
        <v>24</v>
      </c>
      <c r="Q1852" t="s">
        <v>24</v>
      </c>
    </row>
    <row r="1853" spans="1:17" x14ac:dyDescent="0.25">
      <c r="A1853" t="s">
        <v>4555</v>
      </c>
      <c r="B1853" t="s">
        <v>4556</v>
      </c>
      <c r="E1853" t="s">
        <v>4557</v>
      </c>
      <c r="G1853" t="s">
        <v>167</v>
      </c>
      <c r="H1853" t="s">
        <v>62</v>
      </c>
      <c r="I1853" t="str">
        <f>"45207"</f>
        <v>45207</v>
      </c>
      <c r="J1853" t="s">
        <v>22</v>
      </c>
      <c r="K1853" t="s">
        <v>23</v>
      </c>
      <c r="L1853" s="2">
        <v>1973009</v>
      </c>
      <c r="M1853" s="2">
        <v>24756</v>
      </c>
      <c r="N1853" s="2">
        <v>0</v>
      </c>
      <c r="O1853" t="s">
        <v>24</v>
      </c>
      <c r="P1853" t="s">
        <v>24</v>
      </c>
      <c r="Q1853" t="s">
        <v>24</v>
      </c>
    </row>
    <row r="1854" spans="1:17" x14ac:dyDescent="0.25">
      <c r="A1854" t="s">
        <v>3140</v>
      </c>
      <c r="B1854" t="s">
        <v>3141</v>
      </c>
      <c r="C1854" s="1">
        <v>41275</v>
      </c>
      <c r="D1854" s="1">
        <v>41639</v>
      </c>
      <c r="E1854" t="s">
        <v>3142</v>
      </c>
      <c r="G1854" t="s">
        <v>3143</v>
      </c>
      <c r="H1854" t="s">
        <v>42</v>
      </c>
      <c r="I1854" t="str">
        <f>"54210"</f>
        <v>54210</v>
      </c>
      <c r="J1854" t="s">
        <v>63</v>
      </c>
      <c r="K1854" t="s">
        <v>23</v>
      </c>
      <c r="L1854" s="2">
        <v>1967996</v>
      </c>
      <c r="M1854" s="2">
        <v>155314</v>
      </c>
      <c r="N1854" s="2">
        <v>92256</v>
      </c>
      <c r="O1854" s="2">
        <v>117586</v>
      </c>
      <c r="P1854" s="2">
        <v>0</v>
      </c>
      <c r="Q1854" s="2">
        <v>0</v>
      </c>
    </row>
    <row r="1855" spans="1:17" x14ac:dyDescent="0.25">
      <c r="A1855" t="s">
        <v>484</v>
      </c>
      <c r="B1855" t="s">
        <v>485</v>
      </c>
      <c r="C1855" s="1">
        <v>41275</v>
      </c>
      <c r="D1855" s="1">
        <v>41639</v>
      </c>
      <c r="E1855" t="s">
        <v>486</v>
      </c>
      <c r="G1855" t="s">
        <v>416</v>
      </c>
      <c r="H1855" t="s">
        <v>29</v>
      </c>
      <c r="I1855" t="str">
        <f>"60074"</f>
        <v>60074</v>
      </c>
      <c r="J1855" t="s">
        <v>22</v>
      </c>
      <c r="K1855" t="s">
        <v>30</v>
      </c>
      <c r="L1855" s="2">
        <v>1965346</v>
      </c>
      <c r="M1855" s="2">
        <v>455229</v>
      </c>
      <c r="N1855" s="2">
        <v>0</v>
      </c>
      <c r="O1855" s="2">
        <v>142689</v>
      </c>
      <c r="P1855" t="s">
        <v>24</v>
      </c>
      <c r="Q1855" t="s">
        <v>24</v>
      </c>
    </row>
    <row r="1856" spans="1:17" x14ac:dyDescent="0.25">
      <c r="A1856" t="s">
        <v>3732</v>
      </c>
      <c r="B1856" t="s">
        <v>3733</v>
      </c>
      <c r="C1856" s="1">
        <v>41275</v>
      </c>
      <c r="D1856" s="1">
        <v>41639</v>
      </c>
      <c r="E1856" t="s">
        <v>142</v>
      </c>
      <c r="G1856" t="s">
        <v>143</v>
      </c>
      <c r="H1856" t="s">
        <v>47</v>
      </c>
      <c r="I1856" t="str">
        <f>"48275"</f>
        <v>48275</v>
      </c>
      <c r="J1856" t="s">
        <v>22</v>
      </c>
      <c r="K1856" t="s">
        <v>30</v>
      </c>
      <c r="L1856" s="2">
        <v>1954976</v>
      </c>
      <c r="M1856" s="2">
        <v>673706</v>
      </c>
      <c r="N1856" s="2">
        <v>0</v>
      </c>
      <c r="O1856" s="2">
        <v>144726</v>
      </c>
      <c r="P1856" t="s">
        <v>24</v>
      </c>
      <c r="Q1856" t="s">
        <v>24</v>
      </c>
    </row>
    <row r="1857" spans="1:17" x14ac:dyDescent="0.25">
      <c r="A1857" t="s">
        <v>6180</v>
      </c>
      <c r="B1857" t="s">
        <v>6181</v>
      </c>
      <c r="C1857" s="1">
        <v>41275</v>
      </c>
      <c r="D1857" s="1">
        <v>41639</v>
      </c>
      <c r="E1857" t="s">
        <v>104</v>
      </c>
      <c r="G1857" t="s">
        <v>28</v>
      </c>
      <c r="H1857" t="s">
        <v>29</v>
      </c>
      <c r="I1857" t="str">
        <f>"60680"</f>
        <v>60680</v>
      </c>
      <c r="J1857" t="s">
        <v>22</v>
      </c>
      <c r="K1857" t="s">
        <v>30</v>
      </c>
      <c r="L1857" s="2">
        <v>1954945</v>
      </c>
      <c r="M1857" s="2">
        <v>18169</v>
      </c>
      <c r="N1857" s="2">
        <v>0</v>
      </c>
      <c r="O1857" s="2">
        <v>178047</v>
      </c>
      <c r="P1857" t="s">
        <v>24</v>
      </c>
      <c r="Q1857" t="s">
        <v>24</v>
      </c>
    </row>
    <row r="1858" spans="1:17" x14ac:dyDescent="0.25">
      <c r="A1858" t="s">
        <v>1886</v>
      </c>
      <c r="B1858" t="s">
        <v>1887</v>
      </c>
      <c r="C1858" s="1">
        <v>41275</v>
      </c>
      <c r="D1858" s="1">
        <v>41639</v>
      </c>
      <c r="E1858" t="s">
        <v>1888</v>
      </c>
      <c r="G1858" t="s">
        <v>28</v>
      </c>
      <c r="H1858" t="s">
        <v>29</v>
      </c>
      <c r="I1858" t="str">
        <f>"60601"</f>
        <v>60601</v>
      </c>
      <c r="J1858" t="s">
        <v>22</v>
      </c>
      <c r="K1858" t="s">
        <v>23</v>
      </c>
      <c r="L1858" s="2">
        <v>1952798</v>
      </c>
      <c r="M1858" s="2">
        <v>182940</v>
      </c>
      <c r="N1858" s="2">
        <v>0</v>
      </c>
      <c r="O1858" s="2">
        <v>94013</v>
      </c>
      <c r="P1858" t="s">
        <v>24</v>
      </c>
      <c r="Q1858" t="s">
        <v>24</v>
      </c>
    </row>
    <row r="1859" spans="1:17" x14ac:dyDescent="0.25">
      <c r="A1859" t="s">
        <v>6142</v>
      </c>
      <c r="B1859" t="s">
        <v>6143</v>
      </c>
      <c r="C1859" s="1">
        <v>41275</v>
      </c>
      <c r="D1859" s="1">
        <v>41639</v>
      </c>
      <c r="E1859" t="s">
        <v>6144</v>
      </c>
      <c r="G1859" t="s">
        <v>20</v>
      </c>
      <c r="H1859" t="s">
        <v>21</v>
      </c>
      <c r="I1859" t="str">
        <f>"46268"</f>
        <v>46268</v>
      </c>
      <c r="J1859" t="s">
        <v>22</v>
      </c>
      <c r="K1859" t="s">
        <v>30</v>
      </c>
      <c r="L1859" s="2">
        <v>1949134</v>
      </c>
      <c r="M1859" s="2">
        <v>1074988</v>
      </c>
      <c r="N1859" s="2">
        <v>0</v>
      </c>
      <c r="O1859" s="2">
        <v>39177</v>
      </c>
      <c r="P1859" t="s">
        <v>24</v>
      </c>
      <c r="Q1859" t="s">
        <v>24</v>
      </c>
    </row>
    <row r="1860" spans="1:17" x14ac:dyDescent="0.25">
      <c r="A1860" t="s">
        <v>177</v>
      </c>
      <c r="B1860" t="s">
        <v>178</v>
      </c>
      <c r="C1860" s="1">
        <v>41456</v>
      </c>
      <c r="D1860" s="1">
        <v>41820</v>
      </c>
      <c r="E1860" t="s">
        <v>179</v>
      </c>
      <c r="G1860" t="s">
        <v>180</v>
      </c>
      <c r="H1860" t="s">
        <v>29</v>
      </c>
      <c r="I1860" t="str">
        <f>"62454"</f>
        <v>62454</v>
      </c>
      <c r="J1860" t="s">
        <v>22</v>
      </c>
      <c r="K1860" t="s">
        <v>23</v>
      </c>
      <c r="L1860" s="2">
        <v>1947224</v>
      </c>
      <c r="M1860" s="2">
        <v>442121</v>
      </c>
      <c r="N1860" s="2">
        <v>0</v>
      </c>
      <c r="O1860" s="2">
        <v>240215</v>
      </c>
      <c r="P1860" t="s">
        <v>24</v>
      </c>
      <c r="Q1860" t="s">
        <v>24</v>
      </c>
    </row>
    <row r="1861" spans="1:17" x14ac:dyDescent="0.25">
      <c r="A1861" t="s">
        <v>2528</v>
      </c>
      <c r="B1861" t="s">
        <v>2529</v>
      </c>
      <c r="C1861" s="1">
        <v>41275</v>
      </c>
      <c r="D1861" s="1">
        <v>41639</v>
      </c>
      <c r="E1861" t="s">
        <v>2530</v>
      </c>
      <c r="G1861" t="s">
        <v>77</v>
      </c>
      <c r="H1861" t="s">
        <v>78</v>
      </c>
      <c r="I1861" t="str">
        <f>"40205"</f>
        <v>40205</v>
      </c>
      <c r="J1861" t="s">
        <v>22</v>
      </c>
      <c r="K1861" t="s">
        <v>23</v>
      </c>
      <c r="L1861" s="2">
        <v>1946906</v>
      </c>
      <c r="M1861" s="2">
        <v>5819313</v>
      </c>
      <c r="N1861" s="2">
        <v>0</v>
      </c>
      <c r="O1861" s="2">
        <v>1273794</v>
      </c>
      <c r="P1861" t="s">
        <v>24</v>
      </c>
      <c r="Q1861" t="s">
        <v>24</v>
      </c>
    </row>
    <row r="1862" spans="1:17" x14ac:dyDescent="0.25">
      <c r="A1862" t="s">
        <v>1580</v>
      </c>
      <c r="B1862" t="s">
        <v>1581</v>
      </c>
      <c r="C1862" s="1">
        <v>41275</v>
      </c>
      <c r="D1862" s="1">
        <v>41639</v>
      </c>
      <c r="E1862" t="s">
        <v>104</v>
      </c>
      <c r="G1862" t="s">
        <v>28</v>
      </c>
      <c r="H1862" t="s">
        <v>29</v>
      </c>
      <c r="I1862" t="str">
        <f>"60680"</f>
        <v>60680</v>
      </c>
      <c r="J1862" t="s">
        <v>22</v>
      </c>
      <c r="K1862" t="s">
        <v>23</v>
      </c>
      <c r="L1862" s="2">
        <v>1943831</v>
      </c>
      <c r="M1862" s="2">
        <v>2637945</v>
      </c>
      <c r="N1862" s="2">
        <v>0</v>
      </c>
      <c r="O1862" s="2">
        <v>113069</v>
      </c>
      <c r="P1862" t="s">
        <v>24</v>
      </c>
      <c r="Q1862" t="s">
        <v>24</v>
      </c>
    </row>
    <row r="1863" spans="1:17" x14ac:dyDescent="0.25">
      <c r="A1863" t="s">
        <v>5546</v>
      </c>
      <c r="B1863" t="s">
        <v>5547</v>
      </c>
      <c r="C1863" s="1">
        <v>41275</v>
      </c>
      <c r="D1863" s="1">
        <v>41639</v>
      </c>
      <c r="E1863" t="s">
        <v>5548</v>
      </c>
      <c r="G1863" t="s">
        <v>2230</v>
      </c>
      <c r="H1863" t="s">
        <v>21</v>
      </c>
      <c r="I1863" t="str">
        <f>"47305"</f>
        <v>47305</v>
      </c>
      <c r="J1863" t="s">
        <v>22</v>
      </c>
      <c r="K1863" t="s">
        <v>23</v>
      </c>
      <c r="L1863" s="2">
        <v>1942183</v>
      </c>
      <c r="M1863" s="2">
        <v>255055</v>
      </c>
      <c r="N1863" s="2">
        <v>0</v>
      </c>
      <c r="O1863" s="2">
        <v>121131</v>
      </c>
      <c r="P1863" t="s">
        <v>24</v>
      </c>
      <c r="Q1863" t="s">
        <v>24</v>
      </c>
    </row>
    <row r="1864" spans="1:17" x14ac:dyDescent="0.25">
      <c r="A1864" t="s">
        <v>5412</v>
      </c>
      <c r="B1864" t="s">
        <v>5413</v>
      </c>
      <c r="E1864" t="s">
        <v>5414</v>
      </c>
      <c r="G1864" t="s">
        <v>28</v>
      </c>
      <c r="H1864" t="s">
        <v>29</v>
      </c>
      <c r="I1864" t="str">
        <f>"60606"</f>
        <v>60606</v>
      </c>
      <c r="J1864" t="s">
        <v>22</v>
      </c>
      <c r="K1864" t="s">
        <v>23</v>
      </c>
      <c r="L1864" s="2">
        <v>1932726</v>
      </c>
      <c r="M1864" s="2">
        <v>48747</v>
      </c>
      <c r="N1864" s="2">
        <v>0</v>
      </c>
      <c r="O1864" t="s">
        <v>24</v>
      </c>
      <c r="P1864" t="s">
        <v>24</v>
      </c>
      <c r="Q1864" t="s">
        <v>24</v>
      </c>
    </row>
    <row r="1865" spans="1:17" x14ac:dyDescent="0.25">
      <c r="A1865" t="s">
        <v>927</v>
      </c>
      <c r="B1865" t="s">
        <v>928</v>
      </c>
      <c r="C1865" s="1">
        <v>41275</v>
      </c>
      <c r="D1865" s="1">
        <v>41639</v>
      </c>
      <c r="E1865" t="s">
        <v>929</v>
      </c>
      <c r="G1865" t="s">
        <v>28</v>
      </c>
      <c r="H1865" t="s">
        <v>29</v>
      </c>
      <c r="I1865" t="str">
        <f>"60601"</f>
        <v>60601</v>
      </c>
      <c r="J1865" t="s">
        <v>22</v>
      </c>
      <c r="K1865" t="s">
        <v>23</v>
      </c>
      <c r="L1865" s="2">
        <v>1931898</v>
      </c>
      <c r="M1865" s="2">
        <v>173681</v>
      </c>
      <c r="N1865" s="2">
        <v>0</v>
      </c>
      <c r="O1865" s="2">
        <v>202897</v>
      </c>
      <c r="P1865" t="s">
        <v>24</v>
      </c>
      <c r="Q1865" t="s">
        <v>24</v>
      </c>
    </row>
    <row r="1866" spans="1:17" x14ac:dyDescent="0.25">
      <c r="A1866" t="s">
        <v>4224</v>
      </c>
      <c r="B1866" t="s">
        <v>4225</v>
      </c>
      <c r="C1866" s="1">
        <v>41275</v>
      </c>
      <c r="D1866" s="1">
        <v>41639</v>
      </c>
      <c r="E1866" t="s">
        <v>4226</v>
      </c>
      <c r="G1866" t="s">
        <v>28</v>
      </c>
      <c r="H1866" t="s">
        <v>29</v>
      </c>
      <c r="I1866" t="str">
        <f>"60601"</f>
        <v>60601</v>
      </c>
      <c r="J1866" t="s">
        <v>22</v>
      </c>
      <c r="K1866" t="s">
        <v>30</v>
      </c>
      <c r="L1866" s="2">
        <v>1930108</v>
      </c>
      <c r="M1866" s="2">
        <v>900962</v>
      </c>
      <c r="N1866" s="2">
        <v>0</v>
      </c>
      <c r="O1866" s="2">
        <v>82506</v>
      </c>
      <c r="P1866" t="s">
        <v>24</v>
      </c>
      <c r="Q1866" t="s">
        <v>24</v>
      </c>
    </row>
    <row r="1867" spans="1:17" x14ac:dyDescent="0.25">
      <c r="A1867" t="s">
        <v>1269</v>
      </c>
      <c r="B1867" t="s">
        <v>1270</v>
      </c>
      <c r="C1867" s="1">
        <v>41122</v>
      </c>
      <c r="D1867" s="1">
        <v>41486</v>
      </c>
      <c r="E1867" t="s">
        <v>1271</v>
      </c>
      <c r="G1867" t="s">
        <v>1272</v>
      </c>
      <c r="H1867" t="s">
        <v>62</v>
      </c>
      <c r="I1867" t="str">
        <f>"44614"</f>
        <v>44614</v>
      </c>
      <c r="J1867" t="s">
        <v>22</v>
      </c>
      <c r="K1867" t="s">
        <v>91</v>
      </c>
      <c r="L1867" s="2">
        <v>1927510</v>
      </c>
      <c r="M1867" s="2">
        <v>150240</v>
      </c>
      <c r="N1867" s="2">
        <v>0</v>
      </c>
      <c r="O1867" s="2">
        <v>95134</v>
      </c>
      <c r="P1867" t="s">
        <v>24</v>
      </c>
      <c r="Q1867" t="s">
        <v>24</v>
      </c>
    </row>
    <row r="1868" spans="1:17" x14ac:dyDescent="0.25">
      <c r="A1868" t="s">
        <v>1762</v>
      </c>
      <c r="B1868" t="s">
        <v>1763</v>
      </c>
      <c r="E1868" t="s">
        <v>1764</v>
      </c>
      <c r="G1868" t="s">
        <v>1765</v>
      </c>
      <c r="H1868" t="s">
        <v>78</v>
      </c>
      <c r="I1868" t="str">
        <f>"41011"</f>
        <v>41011</v>
      </c>
      <c r="J1868" t="s">
        <v>22</v>
      </c>
      <c r="K1868" t="s">
        <v>30</v>
      </c>
      <c r="L1868" s="2">
        <v>1927260</v>
      </c>
      <c r="M1868" s="2">
        <v>1271450</v>
      </c>
      <c r="N1868" s="2">
        <v>0</v>
      </c>
      <c r="O1868" t="s">
        <v>24</v>
      </c>
      <c r="P1868" t="s">
        <v>24</v>
      </c>
      <c r="Q1868" t="s">
        <v>24</v>
      </c>
    </row>
    <row r="1869" spans="1:17" x14ac:dyDescent="0.25">
      <c r="A1869" t="s">
        <v>4048</v>
      </c>
      <c r="B1869" t="s">
        <v>4049</v>
      </c>
      <c r="C1869" s="1">
        <v>41275</v>
      </c>
      <c r="D1869" s="1">
        <v>41639</v>
      </c>
      <c r="E1869" t="s">
        <v>4050</v>
      </c>
      <c r="G1869" t="s">
        <v>4051</v>
      </c>
      <c r="H1869" t="s">
        <v>29</v>
      </c>
      <c r="I1869" t="str">
        <f>"61235"</f>
        <v>61235</v>
      </c>
      <c r="J1869" t="s">
        <v>22</v>
      </c>
      <c r="K1869" t="s">
        <v>23</v>
      </c>
      <c r="L1869" s="2">
        <v>1923217</v>
      </c>
      <c r="M1869" s="2">
        <v>913774</v>
      </c>
      <c r="N1869" s="2">
        <v>0</v>
      </c>
      <c r="O1869" s="2">
        <v>246855</v>
      </c>
      <c r="P1869" t="s">
        <v>24</v>
      </c>
      <c r="Q1869" t="s">
        <v>24</v>
      </c>
    </row>
    <row r="1870" spans="1:17" x14ac:dyDescent="0.25">
      <c r="A1870" t="s">
        <v>7337</v>
      </c>
      <c r="B1870" t="s">
        <v>7338</v>
      </c>
      <c r="C1870" s="1">
        <v>41275</v>
      </c>
      <c r="D1870" s="1">
        <v>41639</v>
      </c>
      <c r="E1870" t="s">
        <v>7339</v>
      </c>
      <c r="G1870" t="s">
        <v>28</v>
      </c>
      <c r="H1870" t="s">
        <v>29</v>
      </c>
      <c r="I1870" t="str">
        <f>"60610"</f>
        <v>60610</v>
      </c>
      <c r="J1870" t="s">
        <v>22</v>
      </c>
      <c r="K1870" t="s">
        <v>23</v>
      </c>
      <c r="L1870" s="2">
        <v>1921245</v>
      </c>
      <c r="M1870" s="2">
        <v>226144</v>
      </c>
      <c r="N1870" s="2">
        <v>0</v>
      </c>
      <c r="O1870" s="2">
        <v>126823</v>
      </c>
      <c r="P1870" t="s">
        <v>24</v>
      </c>
      <c r="Q1870" t="s">
        <v>24</v>
      </c>
    </row>
    <row r="1871" spans="1:17" x14ac:dyDescent="0.25">
      <c r="A1871" t="s">
        <v>2429</v>
      </c>
      <c r="B1871" t="s">
        <v>2430</v>
      </c>
      <c r="C1871" s="1">
        <v>41275</v>
      </c>
      <c r="D1871" s="1">
        <v>41639</v>
      </c>
      <c r="E1871" t="s">
        <v>2431</v>
      </c>
      <c r="G1871" t="s">
        <v>1920</v>
      </c>
      <c r="H1871" t="s">
        <v>47</v>
      </c>
      <c r="I1871" t="str">
        <f>"48331"</f>
        <v>48331</v>
      </c>
      <c r="J1871" t="s">
        <v>22</v>
      </c>
      <c r="K1871" t="s">
        <v>91</v>
      </c>
      <c r="L1871" s="2">
        <v>1919155</v>
      </c>
      <c r="M1871" s="2">
        <v>701804</v>
      </c>
      <c r="N1871" s="2">
        <v>30599</v>
      </c>
      <c r="O1871" s="2">
        <v>410037</v>
      </c>
      <c r="P1871" t="s">
        <v>24</v>
      </c>
      <c r="Q1871" t="s">
        <v>24</v>
      </c>
    </row>
    <row r="1872" spans="1:17" x14ac:dyDescent="0.25">
      <c r="A1872" t="s">
        <v>4230</v>
      </c>
      <c r="B1872" t="s">
        <v>4231</v>
      </c>
      <c r="C1872" s="1">
        <v>41487</v>
      </c>
      <c r="D1872" s="1">
        <v>41851</v>
      </c>
      <c r="E1872" t="s">
        <v>4232</v>
      </c>
      <c r="G1872" t="s">
        <v>147</v>
      </c>
      <c r="H1872" t="s">
        <v>62</v>
      </c>
      <c r="I1872" t="str">
        <f>"44308"</f>
        <v>44308</v>
      </c>
      <c r="J1872" t="s">
        <v>22</v>
      </c>
      <c r="K1872" t="s">
        <v>30</v>
      </c>
      <c r="L1872" s="2">
        <v>1918041</v>
      </c>
      <c r="M1872" s="2">
        <v>239464</v>
      </c>
      <c r="N1872" s="2">
        <v>0</v>
      </c>
      <c r="O1872" s="2">
        <v>129085</v>
      </c>
      <c r="P1872" t="s">
        <v>24</v>
      </c>
      <c r="Q1872" t="s">
        <v>24</v>
      </c>
    </row>
    <row r="1873" spans="1:17" x14ac:dyDescent="0.25">
      <c r="A1873" t="s">
        <v>4351</v>
      </c>
      <c r="B1873" t="s">
        <v>4352</v>
      </c>
      <c r="C1873" s="1">
        <v>40909</v>
      </c>
      <c r="D1873" s="1">
        <v>41274</v>
      </c>
      <c r="E1873" t="s">
        <v>4353</v>
      </c>
      <c r="G1873" t="s">
        <v>1625</v>
      </c>
      <c r="H1873" t="s">
        <v>42</v>
      </c>
      <c r="I1873" t="str">
        <f>"53005"</f>
        <v>53005</v>
      </c>
      <c r="J1873" t="s">
        <v>22</v>
      </c>
      <c r="K1873" t="s">
        <v>30</v>
      </c>
      <c r="L1873" s="2">
        <v>1915810</v>
      </c>
      <c r="M1873" s="2">
        <v>343200</v>
      </c>
      <c r="N1873" s="2">
        <v>0</v>
      </c>
      <c r="O1873" s="2">
        <v>110899</v>
      </c>
      <c r="P1873" t="s">
        <v>24</v>
      </c>
      <c r="Q1873" t="s">
        <v>24</v>
      </c>
    </row>
    <row r="1874" spans="1:17" x14ac:dyDescent="0.25">
      <c r="A1874" t="s">
        <v>4712</v>
      </c>
      <c r="B1874" t="s">
        <v>4713</v>
      </c>
      <c r="C1874" s="1">
        <v>41275</v>
      </c>
      <c r="D1874" s="1">
        <v>41639</v>
      </c>
      <c r="E1874" t="s">
        <v>4714</v>
      </c>
      <c r="G1874" t="s">
        <v>337</v>
      </c>
      <c r="H1874" t="s">
        <v>62</v>
      </c>
      <c r="I1874" t="str">
        <f>"44113"</f>
        <v>44113</v>
      </c>
      <c r="J1874" t="s">
        <v>63</v>
      </c>
      <c r="K1874" t="s">
        <v>30</v>
      </c>
      <c r="L1874" s="2">
        <v>1913871</v>
      </c>
      <c r="M1874" s="2">
        <v>314567</v>
      </c>
      <c r="N1874" s="2">
        <v>0</v>
      </c>
      <c r="O1874" s="2">
        <v>101940</v>
      </c>
      <c r="P1874" s="2">
        <v>0</v>
      </c>
      <c r="Q1874" s="2">
        <v>0</v>
      </c>
    </row>
    <row r="1875" spans="1:17" x14ac:dyDescent="0.25">
      <c r="A1875" t="s">
        <v>6008</v>
      </c>
      <c r="B1875" t="s">
        <v>6009</v>
      </c>
      <c r="C1875" s="1">
        <v>41275</v>
      </c>
      <c r="D1875" s="1">
        <v>41639</v>
      </c>
      <c r="E1875" t="s">
        <v>6010</v>
      </c>
      <c r="G1875" t="s">
        <v>20</v>
      </c>
      <c r="H1875" t="s">
        <v>21</v>
      </c>
      <c r="I1875" t="str">
        <f>"46204"</f>
        <v>46204</v>
      </c>
      <c r="J1875" t="s">
        <v>22</v>
      </c>
      <c r="K1875" t="s">
        <v>30</v>
      </c>
      <c r="L1875" s="2">
        <v>1911659</v>
      </c>
      <c r="M1875" s="2">
        <v>3532686</v>
      </c>
      <c r="N1875" s="2">
        <v>0</v>
      </c>
      <c r="O1875" s="2">
        <v>125429</v>
      </c>
      <c r="P1875" t="s">
        <v>24</v>
      </c>
      <c r="Q1875" t="s">
        <v>24</v>
      </c>
    </row>
    <row r="1876" spans="1:17" x14ac:dyDescent="0.25">
      <c r="A1876" t="s">
        <v>3692</v>
      </c>
      <c r="B1876" t="s">
        <v>3693</v>
      </c>
      <c r="C1876" s="1">
        <v>41275</v>
      </c>
      <c r="D1876" s="1">
        <v>41639</v>
      </c>
      <c r="E1876" t="s">
        <v>3694</v>
      </c>
      <c r="G1876" t="s">
        <v>2110</v>
      </c>
      <c r="H1876" t="s">
        <v>47</v>
      </c>
      <c r="I1876" t="str">
        <f>"48912"</f>
        <v>48912</v>
      </c>
      <c r="J1876" t="s">
        <v>22</v>
      </c>
      <c r="K1876" t="s">
        <v>23</v>
      </c>
      <c r="L1876" s="2">
        <v>1909354</v>
      </c>
      <c r="M1876" s="2">
        <v>90843</v>
      </c>
      <c r="N1876" s="2">
        <v>0</v>
      </c>
      <c r="O1876" s="2">
        <v>108584</v>
      </c>
      <c r="P1876" t="s">
        <v>24</v>
      </c>
      <c r="Q1876" t="s">
        <v>24</v>
      </c>
    </row>
    <row r="1877" spans="1:17" x14ac:dyDescent="0.25">
      <c r="A1877" t="s">
        <v>6069</v>
      </c>
      <c r="B1877" t="s">
        <v>6070</v>
      </c>
      <c r="C1877" s="1">
        <v>41275</v>
      </c>
      <c r="D1877" s="1">
        <v>41639</v>
      </c>
      <c r="E1877" t="s">
        <v>6071</v>
      </c>
      <c r="G1877" t="s">
        <v>1822</v>
      </c>
      <c r="H1877" t="s">
        <v>62</v>
      </c>
      <c r="I1877" t="str">
        <f>"44691"</f>
        <v>44691</v>
      </c>
      <c r="J1877" t="s">
        <v>22</v>
      </c>
      <c r="K1877" t="s">
        <v>23</v>
      </c>
      <c r="L1877" s="2">
        <v>1909124</v>
      </c>
      <c r="M1877" s="2">
        <v>116795</v>
      </c>
      <c r="N1877" s="2">
        <v>0</v>
      </c>
      <c r="O1877" s="2">
        <v>116553</v>
      </c>
      <c r="P1877" t="s">
        <v>24</v>
      </c>
      <c r="Q1877" t="s">
        <v>24</v>
      </c>
    </row>
    <row r="1878" spans="1:17" x14ac:dyDescent="0.25">
      <c r="A1878" t="s">
        <v>2414</v>
      </c>
      <c r="B1878" t="s">
        <v>2415</v>
      </c>
      <c r="C1878" s="1">
        <v>41275</v>
      </c>
      <c r="D1878" s="1">
        <v>41639</v>
      </c>
      <c r="E1878" t="s">
        <v>2416</v>
      </c>
      <c r="G1878" t="s">
        <v>20</v>
      </c>
      <c r="H1878" t="s">
        <v>21</v>
      </c>
      <c r="I1878" t="str">
        <f>"46250"</f>
        <v>46250</v>
      </c>
      <c r="J1878" t="s">
        <v>22</v>
      </c>
      <c r="K1878" t="s">
        <v>30</v>
      </c>
      <c r="L1878" s="2">
        <v>1900643</v>
      </c>
      <c r="M1878" s="2">
        <v>2019407</v>
      </c>
      <c r="N1878" s="2">
        <v>0</v>
      </c>
      <c r="O1878" s="2">
        <v>127458</v>
      </c>
      <c r="P1878" t="s">
        <v>24</v>
      </c>
      <c r="Q1878" t="s">
        <v>24</v>
      </c>
    </row>
    <row r="1879" spans="1:17" x14ac:dyDescent="0.25">
      <c r="A1879" t="s">
        <v>3902</v>
      </c>
      <c r="B1879" t="s">
        <v>3903</v>
      </c>
      <c r="C1879" s="1">
        <v>41275</v>
      </c>
      <c r="D1879" s="1">
        <v>41639</v>
      </c>
      <c r="E1879" t="s">
        <v>40</v>
      </c>
      <c r="G1879" t="s">
        <v>41</v>
      </c>
      <c r="H1879" t="s">
        <v>42</v>
      </c>
      <c r="I1879" t="str">
        <f>"53201"</f>
        <v>53201</v>
      </c>
      <c r="J1879" t="s">
        <v>22</v>
      </c>
      <c r="K1879" t="s">
        <v>30</v>
      </c>
      <c r="L1879" s="2">
        <v>1899798</v>
      </c>
      <c r="M1879" s="2">
        <v>829180</v>
      </c>
      <c r="N1879" s="2">
        <v>362</v>
      </c>
      <c r="O1879" s="2">
        <v>112811</v>
      </c>
      <c r="P1879" t="s">
        <v>24</v>
      </c>
      <c r="Q1879" t="s">
        <v>24</v>
      </c>
    </row>
    <row r="1880" spans="1:17" x14ac:dyDescent="0.25">
      <c r="A1880" t="s">
        <v>2205</v>
      </c>
      <c r="B1880" t="s">
        <v>2206</v>
      </c>
      <c r="C1880" s="1">
        <v>40969</v>
      </c>
      <c r="D1880" s="1">
        <v>41333</v>
      </c>
      <c r="E1880" t="s">
        <v>2207</v>
      </c>
      <c r="G1880" t="s">
        <v>2208</v>
      </c>
      <c r="H1880" t="s">
        <v>29</v>
      </c>
      <c r="I1880" t="str">
        <f>"62681"</f>
        <v>62681</v>
      </c>
      <c r="J1880" t="s">
        <v>22</v>
      </c>
      <c r="K1880" t="s">
        <v>30</v>
      </c>
      <c r="L1880" s="2">
        <v>1898183</v>
      </c>
      <c r="M1880" s="2">
        <v>112689</v>
      </c>
      <c r="N1880" s="2">
        <v>0</v>
      </c>
      <c r="O1880" s="2">
        <v>80011</v>
      </c>
      <c r="P1880" t="s">
        <v>24</v>
      </c>
      <c r="Q1880" t="s">
        <v>24</v>
      </c>
    </row>
    <row r="1881" spans="1:17" x14ac:dyDescent="0.25">
      <c r="A1881" t="s">
        <v>1082</v>
      </c>
      <c r="B1881" t="s">
        <v>1083</v>
      </c>
      <c r="C1881" s="1">
        <v>40725</v>
      </c>
      <c r="D1881" s="1">
        <v>41090</v>
      </c>
      <c r="E1881" t="s">
        <v>1084</v>
      </c>
      <c r="G1881" t="s">
        <v>139</v>
      </c>
      <c r="H1881" t="s">
        <v>47</v>
      </c>
      <c r="I1881" t="str">
        <f>"49503"</f>
        <v>49503</v>
      </c>
      <c r="J1881" t="s">
        <v>63</v>
      </c>
      <c r="K1881" t="s">
        <v>23</v>
      </c>
      <c r="L1881" s="2">
        <v>1894052</v>
      </c>
      <c r="M1881" s="2">
        <v>164249</v>
      </c>
      <c r="N1881" s="2">
        <v>2121</v>
      </c>
      <c r="O1881" s="2">
        <v>716146</v>
      </c>
      <c r="P1881" s="2">
        <v>1168</v>
      </c>
      <c r="Q1881" s="2">
        <v>0</v>
      </c>
    </row>
    <row r="1882" spans="1:17" x14ac:dyDescent="0.25">
      <c r="A1882" t="s">
        <v>5044</v>
      </c>
      <c r="B1882" t="s">
        <v>5045</v>
      </c>
      <c r="C1882" s="1">
        <v>41275</v>
      </c>
      <c r="D1882" s="1">
        <v>41639</v>
      </c>
      <c r="E1882" t="s">
        <v>5046</v>
      </c>
      <c r="G1882" t="s">
        <v>28</v>
      </c>
      <c r="H1882" t="s">
        <v>29</v>
      </c>
      <c r="I1882" t="str">
        <f>"60603"</f>
        <v>60603</v>
      </c>
      <c r="J1882" t="s">
        <v>22</v>
      </c>
      <c r="K1882" t="s">
        <v>23</v>
      </c>
      <c r="L1882" s="2">
        <v>1894005</v>
      </c>
      <c r="M1882" s="2">
        <v>844870</v>
      </c>
      <c r="N1882" s="2">
        <v>0</v>
      </c>
      <c r="O1882" s="2">
        <v>89153</v>
      </c>
      <c r="P1882" t="s">
        <v>24</v>
      </c>
      <c r="Q1882" t="s">
        <v>24</v>
      </c>
    </row>
    <row r="1883" spans="1:17" x14ac:dyDescent="0.25">
      <c r="A1883" t="s">
        <v>6805</v>
      </c>
      <c r="B1883" t="s">
        <v>6806</v>
      </c>
      <c r="C1883" s="1">
        <v>41275</v>
      </c>
      <c r="D1883" s="1">
        <v>41639</v>
      </c>
      <c r="E1883" t="s">
        <v>6807</v>
      </c>
      <c r="G1883" t="s">
        <v>147</v>
      </c>
      <c r="H1883" t="s">
        <v>62</v>
      </c>
      <c r="I1883" t="str">
        <f>"44334"</f>
        <v>44334</v>
      </c>
      <c r="J1883" t="s">
        <v>752</v>
      </c>
      <c r="K1883" t="s">
        <v>753</v>
      </c>
      <c r="L1883" s="2">
        <v>1892827</v>
      </c>
      <c r="M1883" s="2">
        <v>2136925</v>
      </c>
      <c r="N1883" s="2">
        <v>5193</v>
      </c>
      <c r="O1883" s="2">
        <v>304964</v>
      </c>
      <c r="P1883" t="s">
        <v>24</v>
      </c>
      <c r="Q1883" t="s">
        <v>24</v>
      </c>
    </row>
    <row r="1884" spans="1:17" x14ac:dyDescent="0.25">
      <c r="A1884" t="s">
        <v>5737</v>
      </c>
      <c r="B1884" t="s">
        <v>5738</v>
      </c>
      <c r="C1884" s="1">
        <v>41244</v>
      </c>
      <c r="D1884" s="1">
        <v>41608</v>
      </c>
      <c r="E1884" t="s">
        <v>50</v>
      </c>
      <c r="G1884" t="s">
        <v>28</v>
      </c>
      <c r="H1884" t="s">
        <v>29</v>
      </c>
      <c r="I1884" t="str">
        <f>"60603"</f>
        <v>60603</v>
      </c>
      <c r="J1884" t="s">
        <v>22</v>
      </c>
      <c r="K1884" t="s">
        <v>23</v>
      </c>
      <c r="L1884" s="2">
        <v>1890317</v>
      </c>
      <c r="M1884" s="2">
        <v>822767</v>
      </c>
      <c r="N1884" s="2">
        <v>0</v>
      </c>
      <c r="O1884" s="2">
        <v>102964</v>
      </c>
      <c r="P1884" t="s">
        <v>24</v>
      </c>
      <c r="Q1884" t="s">
        <v>24</v>
      </c>
    </row>
    <row r="1885" spans="1:17" x14ac:dyDescent="0.25">
      <c r="A1885" t="s">
        <v>3737</v>
      </c>
      <c r="B1885" t="s">
        <v>3738</v>
      </c>
      <c r="C1885" s="1">
        <v>41275</v>
      </c>
      <c r="D1885" s="1">
        <v>41639</v>
      </c>
      <c r="E1885" t="s">
        <v>3739</v>
      </c>
      <c r="G1885" t="s">
        <v>1757</v>
      </c>
      <c r="H1885" t="s">
        <v>47</v>
      </c>
      <c r="I1885" t="str">
        <f>"49007"</f>
        <v>49007</v>
      </c>
      <c r="J1885" t="s">
        <v>22</v>
      </c>
      <c r="K1885" t="s">
        <v>30</v>
      </c>
      <c r="L1885" s="2">
        <v>1888149</v>
      </c>
      <c r="M1885" s="2">
        <v>596287</v>
      </c>
      <c r="N1885" s="2">
        <v>0</v>
      </c>
      <c r="O1885" s="2">
        <v>92199</v>
      </c>
      <c r="P1885" t="s">
        <v>24</v>
      </c>
      <c r="Q1885" t="s">
        <v>24</v>
      </c>
    </row>
    <row r="1886" spans="1:17" x14ac:dyDescent="0.25">
      <c r="A1886" t="s">
        <v>3292</v>
      </c>
      <c r="B1886" t="s">
        <v>3293</v>
      </c>
      <c r="C1886" s="1">
        <v>41275</v>
      </c>
      <c r="D1886" s="1">
        <v>41639</v>
      </c>
      <c r="E1886" t="s">
        <v>104</v>
      </c>
      <c r="G1886" t="s">
        <v>28</v>
      </c>
      <c r="H1886" t="s">
        <v>29</v>
      </c>
      <c r="I1886" t="str">
        <f>"60680"</f>
        <v>60680</v>
      </c>
      <c r="J1886" t="s">
        <v>22</v>
      </c>
      <c r="K1886" t="s">
        <v>23</v>
      </c>
      <c r="L1886" s="2">
        <v>1886900</v>
      </c>
      <c r="M1886" s="2">
        <v>1124644</v>
      </c>
      <c r="N1886" s="2">
        <v>0</v>
      </c>
      <c r="O1886" s="2">
        <v>98718</v>
      </c>
      <c r="P1886" t="s">
        <v>24</v>
      </c>
      <c r="Q1886" t="s">
        <v>24</v>
      </c>
    </row>
    <row r="1887" spans="1:17" x14ac:dyDescent="0.25">
      <c r="A1887" t="s">
        <v>5524</v>
      </c>
      <c r="B1887" t="s">
        <v>5525</v>
      </c>
      <c r="C1887" s="1">
        <v>41275</v>
      </c>
      <c r="D1887" s="1">
        <v>41639</v>
      </c>
      <c r="E1887" t="s">
        <v>5526</v>
      </c>
      <c r="G1887" t="s">
        <v>5527</v>
      </c>
      <c r="H1887" t="s">
        <v>47</v>
      </c>
      <c r="I1887" t="str">
        <f>"49337"</f>
        <v>49337</v>
      </c>
      <c r="J1887" t="s">
        <v>22</v>
      </c>
      <c r="K1887" t="s">
        <v>30</v>
      </c>
      <c r="L1887" s="2">
        <v>1884151</v>
      </c>
      <c r="M1887" s="2">
        <v>773213</v>
      </c>
      <c r="N1887" s="2">
        <v>0</v>
      </c>
      <c r="O1887" s="2">
        <v>93426</v>
      </c>
      <c r="P1887" t="s">
        <v>24</v>
      </c>
      <c r="Q1887" t="s">
        <v>24</v>
      </c>
    </row>
    <row r="1888" spans="1:17" x14ac:dyDescent="0.25">
      <c r="A1888" t="s">
        <v>259</v>
      </c>
      <c r="B1888" t="s">
        <v>260</v>
      </c>
      <c r="C1888" s="1">
        <v>41275</v>
      </c>
      <c r="D1888" s="1">
        <v>41639</v>
      </c>
      <c r="E1888" t="s">
        <v>261</v>
      </c>
      <c r="G1888" t="s">
        <v>28</v>
      </c>
      <c r="H1888" t="s">
        <v>29</v>
      </c>
      <c r="I1888" t="str">
        <f>"60614"</f>
        <v>60614</v>
      </c>
      <c r="J1888" t="s">
        <v>22</v>
      </c>
      <c r="K1888" t="s">
        <v>23</v>
      </c>
      <c r="L1888" s="2">
        <v>1879167</v>
      </c>
      <c r="M1888" s="2">
        <v>868212</v>
      </c>
      <c r="N1888" s="2">
        <v>0</v>
      </c>
      <c r="O1888" s="2">
        <v>1214986</v>
      </c>
      <c r="P1888" t="s">
        <v>24</v>
      </c>
      <c r="Q1888" t="s">
        <v>24</v>
      </c>
    </row>
    <row r="1889" spans="1:17" x14ac:dyDescent="0.25">
      <c r="A1889" t="s">
        <v>3973</v>
      </c>
      <c r="B1889" t="s">
        <v>3974</v>
      </c>
      <c r="C1889" s="1">
        <v>40909</v>
      </c>
      <c r="D1889" s="1">
        <v>41274</v>
      </c>
      <c r="E1889" t="s">
        <v>3975</v>
      </c>
      <c r="G1889" t="s">
        <v>772</v>
      </c>
      <c r="H1889" t="s">
        <v>62</v>
      </c>
      <c r="I1889" t="str">
        <f>"44124"</f>
        <v>44124</v>
      </c>
      <c r="J1889" t="s">
        <v>22</v>
      </c>
      <c r="K1889" t="s">
        <v>23</v>
      </c>
      <c r="L1889" s="2">
        <v>1874695</v>
      </c>
      <c r="M1889" s="2">
        <v>2337375</v>
      </c>
      <c r="N1889" s="2">
        <v>0</v>
      </c>
      <c r="O1889" s="2">
        <v>194422</v>
      </c>
      <c r="P1889" t="s">
        <v>24</v>
      </c>
      <c r="Q1889" t="s">
        <v>24</v>
      </c>
    </row>
    <row r="1890" spans="1:17" x14ac:dyDescent="0.25">
      <c r="A1890" t="s">
        <v>3935</v>
      </c>
      <c r="B1890" t="s">
        <v>3936</v>
      </c>
      <c r="C1890" s="1">
        <v>40909</v>
      </c>
      <c r="D1890" s="1">
        <v>41274</v>
      </c>
      <c r="E1890" t="s">
        <v>3937</v>
      </c>
      <c r="G1890" t="s">
        <v>28</v>
      </c>
      <c r="H1890" t="s">
        <v>29</v>
      </c>
      <c r="I1890" t="str">
        <f>"60603"</f>
        <v>60603</v>
      </c>
      <c r="J1890" t="s">
        <v>22</v>
      </c>
      <c r="K1890" t="s">
        <v>23</v>
      </c>
      <c r="L1890" s="2">
        <v>1860974</v>
      </c>
      <c r="M1890" s="2">
        <v>561064</v>
      </c>
      <c r="N1890" s="2">
        <v>0</v>
      </c>
      <c r="O1890" s="2">
        <v>128871</v>
      </c>
      <c r="P1890" t="s">
        <v>24</v>
      </c>
      <c r="Q1890" t="s">
        <v>24</v>
      </c>
    </row>
    <row r="1891" spans="1:17" x14ac:dyDescent="0.25">
      <c r="A1891" t="s">
        <v>3179</v>
      </c>
      <c r="B1891" t="s">
        <v>3180</v>
      </c>
      <c r="C1891" s="1">
        <v>41275</v>
      </c>
      <c r="D1891" s="1">
        <v>41639</v>
      </c>
      <c r="E1891" t="s">
        <v>2297</v>
      </c>
      <c r="G1891" t="s">
        <v>364</v>
      </c>
      <c r="H1891" t="s">
        <v>21</v>
      </c>
      <c r="I1891" t="str">
        <f>"47702"</f>
        <v>47702</v>
      </c>
      <c r="J1891" t="s">
        <v>22</v>
      </c>
      <c r="K1891" t="s">
        <v>23</v>
      </c>
      <c r="L1891" s="2">
        <v>1859401</v>
      </c>
      <c r="M1891" s="2">
        <v>498852</v>
      </c>
      <c r="N1891" s="2">
        <v>0</v>
      </c>
      <c r="O1891" s="2">
        <v>103779</v>
      </c>
      <c r="P1891" t="s">
        <v>24</v>
      </c>
      <c r="Q1891" t="s">
        <v>24</v>
      </c>
    </row>
    <row r="1892" spans="1:17" x14ac:dyDescent="0.25">
      <c r="A1892" t="s">
        <v>3559</v>
      </c>
      <c r="B1892" t="s">
        <v>3560</v>
      </c>
      <c r="C1892" s="1">
        <v>41275</v>
      </c>
      <c r="D1892" s="1">
        <v>41639</v>
      </c>
      <c r="E1892" t="s">
        <v>3561</v>
      </c>
      <c r="G1892" t="s">
        <v>2795</v>
      </c>
      <c r="H1892" t="s">
        <v>29</v>
      </c>
      <c r="I1892" t="str">
        <f>"60007"</f>
        <v>60007</v>
      </c>
      <c r="J1892" t="s">
        <v>22</v>
      </c>
      <c r="K1892" t="s">
        <v>23</v>
      </c>
      <c r="L1892" s="2">
        <v>1853460</v>
      </c>
      <c r="M1892" s="2">
        <v>753278</v>
      </c>
      <c r="N1892" s="2">
        <v>0</v>
      </c>
      <c r="O1892" s="2">
        <v>108224</v>
      </c>
      <c r="P1892" t="s">
        <v>24</v>
      </c>
      <c r="Q1892" t="s">
        <v>24</v>
      </c>
    </row>
    <row r="1893" spans="1:17" x14ac:dyDescent="0.25">
      <c r="A1893" t="s">
        <v>2030</v>
      </c>
      <c r="B1893" t="s">
        <v>2031</v>
      </c>
      <c r="C1893" s="1">
        <v>41275</v>
      </c>
      <c r="D1893" s="1">
        <v>41639</v>
      </c>
      <c r="E1893" t="s">
        <v>2032</v>
      </c>
      <c r="G1893" t="s">
        <v>28</v>
      </c>
      <c r="H1893" t="s">
        <v>29</v>
      </c>
      <c r="I1893" t="str">
        <f>"60661"</f>
        <v>60661</v>
      </c>
      <c r="J1893" t="s">
        <v>22</v>
      </c>
      <c r="K1893" t="s">
        <v>30</v>
      </c>
      <c r="L1893" s="2">
        <v>1849840</v>
      </c>
      <c r="M1893" s="2">
        <v>831968</v>
      </c>
      <c r="N1893" s="2">
        <v>2802</v>
      </c>
      <c r="O1893" s="2">
        <v>66255</v>
      </c>
      <c r="P1893" t="s">
        <v>24</v>
      </c>
      <c r="Q1893" t="s">
        <v>24</v>
      </c>
    </row>
    <row r="1894" spans="1:17" x14ac:dyDescent="0.25">
      <c r="A1894" t="s">
        <v>7670</v>
      </c>
      <c r="B1894" t="s">
        <v>7671</v>
      </c>
      <c r="C1894" s="1">
        <v>41275</v>
      </c>
      <c r="D1894" s="1">
        <v>41639</v>
      </c>
      <c r="E1894" t="s">
        <v>7672</v>
      </c>
      <c r="G1894" t="s">
        <v>401</v>
      </c>
      <c r="H1894" t="s">
        <v>47</v>
      </c>
      <c r="I1894" t="str">
        <f>"48642"</f>
        <v>48642</v>
      </c>
      <c r="J1894" t="s">
        <v>22</v>
      </c>
      <c r="K1894" t="s">
        <v>91</v>
      </c>
      <c r="L1894" s="2">
        <v>1849102</v>
      </c>
      <c r="M1894" s="2">
        <v>251747</v>
      </c>
      <c r="N1894" s="2">
        <v>0</v>
      </c>
      <c r="O1894" s="2">
        <v>142790</v>
      </c>
      <c r="P1894" t="s">
        <v>24</v>
      </c>
      <c r="Q1894" t="s">
        <v>24</v>
      </c>
    </row>
    <row r="1895" spans="1:17" x14ac:dyDescent="0.25">
      <c r="A1895" t="s">
        <v>255</v>
      </c>
      <c r="B1895" t="s">
        <v>256</v>
      </c>
      <c r="C1895" s="1">
        <v>41275</v>
      </c>
      <c r="D1895" s="1">
        <v>41639</v>
      </c>
      <c r="E1895" t="s">
        <v>257</v>
      </c>
      <c r="G1895" t="s">
        <v>258</v>
      </c>
      <c r="H1895" t="s">
        <v>62</v>
      </c>
      <c r="I1895" t="str">
        <f>"44512"</f>
        <v>44512</v>
      </c>
      <c r="J1895" t="s">
        <v>22</v>
      </c>
      <c r="K1895" t="s">
        <v>23</v>
      </c>
      <c r="L1895" s="2">
        <v>1845618</v>
      </c>
      <c r="M1895" s="2">
        <v>1068893</v>
      </c>
      <c r="N1895" s="2">
        <v>0</v>
      </c>
      <c r="O1895" s="2">
        <v>107302</v>
      </c>
      <c r="P1895" t="s">
        <v>24</v>
      </c>
      <c r="Q1895" t="s">
        <v>24</v>
      </c>
    </row>
    <row r="1896" spans="1:17" x14ac:dyDescent="0.25">
      <c r="A1896" t="s">
        <v>4134</v>
      </c>
      <c r="B1896" t="s">
        <v>4135</v>
      </c>
      <c r="C1896" s="1">
        <v>41275</v>
      </c>
      <c r="D1896" s="1">
        <v>41639</v>
      </c>
      <c r="E1896" t="s">
        <v>3739</v>
      </c>
      <c r="G1896" t="s">
        <v>1757</v>
      </c>
      <c r="H1896" t="s">
        <v>47</v>
      </c>
      <c r="I1896" t="str">
        <f>"49007"</f>
        <v>49007</v>
      </c>
      <c r="J1896" t="s">
        <v>22</v>
      </c>
      <c r="K1896" t="s">
        <v>23</v>
      </c>
      <c r="L1896" s="2">
        <v>1841793</v>
      </c>
      <c r="M1896" s="2">
        <v>560107</v>
      </c>
      <c r="N1896" s="2">
        <v>0</v>
      </c>
      <c r="O1896" s="2">
        <v>88315</v>
      </c>
      <c r="P1896" t="s">
        <v>24</v>
      </c>
      <c r="Q1896" t="s">
        <v>24</v>
      </c>
    </row>
    <row r="1897" spans="1:17" x14ac:dyDescent="0.25">
      <c r="A1897" t="s">
        <v>280</v>
      </c>
      <c r="B1897" t="s">
        <v>281</v>
      </c>
      <c r="C1897" s="1">
        <v>41275</v>
      </c>
      <c r="D1897" s="1">
        <v>41639</v>
      </c>
      <c r="E1897" t="s">
        <v>282</v>
      </c>
      <c r="G1897" t="s">
        <v>283</v>
      </c>
      <c r="H1897" t="s">
        <v>29</v>
      </c>
      <c r="I1897" t="str">
        <f>"60175"</f>
        <v>60175</v>
      </c>
      <c r="J1897" t="s">
        <v>22</v>
      </c>
      <c r="K1897" t="s">
        <v>30</v>
      </c>
      <c r="L1897" s="2">
        <v>1837539</v>
      </c>
      <c r="M1897" s="2">
        <v>3017164</v>
      </c>
      <c r="N1897" s="2">
        <v>0</v>
      </c>
      <c r="O1897" s="2">
        <v>179750</v>
      </c>
      <c r="P1897" t="s">
        <v>24</v>
      </c>
      <c r="Q1897" t="s">
        <v>24</v>
      </c>
    </row>
    <row r="1898" spans="1:17" x14ac:dyDescent="0.25">
      <c r="A1898" t="s">
        <v>2704</v>
      </c>
      <c r="B1898" t="s">
        <v>2705</v>
      </c>
      <c r="C1898" s="1">
        <v>41275</v>
      </c>
      <c r="D1898" s="1">
        <v>41639</v>
      </c>
      <c r="E1898" t="s">
        <v>489</v>
      </c>
      <c r="G1898" t="s">
        <v>337</v>
      </c>
      <c r="H1898" t="s">
        <v>62</v>
      </c>
      <c r="I1898" t="str">
        <f>"44101"</f>
        <v>44101</v>
      </c>
      <c r="J1898" t="s">
        <v>63</v>
      </c>
      <c r="K1898" t="s">
        <v>23</v>
      </c>
      <c r="L1898" s="2">
        <v>1831427</v>
      </c>
      <c r="M1898" s="2">
        <v>54055</v>
      </c>
      <c r="N1898" s="2">
        <v>0</v>
      </c>
      <c r="O1898" s="2">
        <v>70715</v>
      </c>
      <c r="P1898" s="2">
        <v>21897</v>
      </c>
      <c r="Q1898" s="2">
        <v>0</v>
      </c>
    </row>
    <row r="1899" spans="1:17" x14ac:dyDescent="0.25">
      <c r="A1899" t="s">
        <v>5105</v>
      </c>
      <c r="B1899" t="s">
        <v>5106</v>
      </c>
      <c r="C1899" s="1">
        <v>41275</v>
      </c>
      <c r="D1899" s="1">
        <v>41639</v>
      </c>
      <c r="E1899" t="s">
        <v>5107</v>
      </c>
      <c r="G1899" t="s">
        <v>5108</v>
      </c>
      <c r="H1899" t="s">
        <v>42</v>
      </c>
      <c r="I1899" t="str">
        <f>"53121"</f>
        <v>53121</v>
      </c>
      <c r="J1899" t="s">
        <v>63</v>
      </c>
      <c r="K1899" t="s">
        <v>64</v>
      </c>
      <c r="L1899" s="2">
        <v>1827336</v>
      </c>
      <c r="M1899" s="2">
        <v>141192</v>
      </c>
      <c r="N1899" s="2">
        <v>0</v>
      </c>
      <c r="O1899" s="2">
        <v>49874</v>
      </c>
      <c r="P1899" s="2">
        <v>1360</v>
      </c>
      <c r="Q1899" s="2">
        <v>3692</v>
      </c>
    </row>
    <row r="1900" spans="1:17" x14ac:dyDescent="0.25">
      <c r="A1900" t="s">
        <v>4987</v>
      </c>
      <c r="B1900" t="s">
        <v>4988</v>
      </c>
      <c r="C1900" s="1">
        <v>41275</v>
      </c>
      <c r="D1900" s="1">
        <v>41639</v>
      </c>
      <c r="E1900" t="s">
        <v>4989</v>
      </c>
      <c r="G1900" t="s">
        <v>4990</v>
      </c>
      <c r="H1900" t="s">
        <v>29</v>
      </c>
      <c r="I1900" t="str">
        <f>"60070"</f>
        <v>60070</v>
      </c>
      <c r="J1900" t="s">
        <v>22</v>
      </c>
      <c r="K1900" t="s">
        <v>30</v>
      </c>
      <c r="L1900" s="2">
        <v>1823120</v>
      </c>
      <c r="M1900" s="2">
        <v>161390</v>
      </c>
      <c r="N1900" s="2">
        <v>0</v>
      </c>
      <c r="O1900" s="2">
        <v>89752</v>
      </c>
      <c r="P1900" t="s">
        <v>24</v>
      </c>
      <c r="Q1900" t="s">
        <v>24</v>
      </c>
    </row>
    <row r="1901" spans="1:17" x14ac:dyDescent="0.25">
      <c r="A1901" t="s">
        <v>6100</v>
      </c>
      <c r="B1901" t="s">
        <v>6101</v>
      </c>
      <c r="C1901" s="1">
        <v>41275</v>
      </c>
      <c r="D1901" s="1">
        <v>41639</v>
      </c>
      <c r="E1901" t="s">
        <v>6102</v>
      </c>
      <c r="G1901" t="s">
        <v>6103</v>
      </c>
      <c r="H1901" t="s">
        <v>29</v>
      </c>
      <c r="I1901" t="str">
        <f>"60803"</f>
        <v>60803</v>
      </c>
      <c r="J1901" t="s">
        <v>63</v>
      </c>
      <c r="K1901" t="s">
        <v>30</v>
      </c>
      <c r="L1901" s="2">
        <v>1819949</v>
      </c>
      <c r="M1901" s="2">
        <v>106584</v>
      </c>
      <c r="N1901" s="2">
        <v>0</v>
      </c>
      <c r="O1901" s="2">
        <v>117772</v>
      </c>
      <c r="P1901" s="2">
        <v>10</v>
      </c>
      <c r="Q1901" s="2">
        <v>0</v>
      </c>
    </row>
    <row r="1902" spans="1:17" x14ac:dyDescent="0.25">
      <c r="A1902" t="s">
        <v>4127</v>
      </c>
      <c r="B1902" t="s">
        <v>4128</v>
      </c>
      <c r="C1902" s="1">
        <v>41275</v>
      </c>
      <c r="D1902" s="1">
        <v>41639</v>
      </c>
      <c r="E1902" t="s">
        <v>4129</v>
      </c>
      <c r="G1902" t="s">
        <v>3624</v>
      </c>
      <c r="H1902" t="s">
        <v>47</v>
      </c>
      <c r="I1902" t="str">
        <f>"48858"</f>
        <v>48858</v>
      </c>
      <c r="J1902" t="s">
        <v>22</v>
      </c>
      <c r="K1902" t="s">
        <v>23</v>
      </c>
      <c r="L1902" s="2">
        <v>1814664</v>
      </c>
      <c r="M1902" s="2">
        <v>289052</v>
      </c>
      <c r="N1902" s="2">
        <v>0</v>
      </c>
      <c r="O1902" s="2">
        <v>187814</v>
      </c>
      <c r="P1902" t="s">
        <v>24</v>
      </c>
      <c r="Q1902" t="s">
        <v>24</v>
      </c>
    </row>
    <row r="1903" spans="1:17" x14ac:dyDescent="0.25">
      <c r="A1903" t="s">
        <v>5176</v>
      </c>
      <c r="B1903" t="s">
        <v>5177</v>
      </c>
      <c r="C1903" s="1">
        <v>41275</v>
      </c>
      <c r="D1903" s="1">
        <v>41639</v>
      </c>
      <c r="E1903" t="s">
        <v>5178</v>
      </c>
      <c r="G1903" t="s">
        <v>167</v>
      </c>
      <c r="H1903" t="s">
        <v>62</v>
      </c>
      <c r="I1903" t="str">
        <f>"45243"</f>
        <v>45243</v>
      </c>
      <c r="J1903" t="s">
        <v>22</v>
      </c>
      <c r="K1903" t="s">
        <v>23</v>
      </c>
      <c r="L1903" s="2">
        <v>1812473</v>
      </c>
      <c r="M1903" s="2">
        <v>100987</v>
      </c>
      <c r="N1903" s="2">
        <v>0</v>
      </c>
      <c r="O1903" s="2">
        <v>77725</v>
      </c>
      <c r="P1903" t="s">
        <v>24</v>
      </c>
      <c r="Q1903" t="s">
        <v>24</v>
      </c>
    </row>
    <row r="1904" spans="1:17" x14ac:dyDescent="0.25">
      <c r="A1904" t="s">
        <v>3058</v>
      </c>
      <c r="B1904" t="s">
        <v>3059</v>
      </c>
      <c r="C1904" s="1">
        <v>41426</v>
      </c>
      <c r="D1904" s="1">
        <v>41790</v>
      </c>
      <c r="E1904" t="s">
        <v>1535</v>
      </c>
      <c r="G1904" t="s">
        <v>41</v>
      </c>
      <c r="H1904" t="s">
        <v>42</v>
      </c>
      <c r="I1904" t="str">
        <f>"53201"</f>
        <v>53201</v>
      </c>
      <c r="J1904" t="s">
        <v>22</v>
      </c>
      <c r="K1904" t="s">
        <v>23</v>
      </c>
      <c r="L1904" s="2">
        <v>1812222</v>
      </c>
      <c r="M1904" s="2">
        <v>546203</v>
      </c>
      <c r="N1904" s="2">
        <v>0</v>
      </c>
      <c r="O1904" s="2">
        <v>108592</v>
      </c>
      <c r="P1904" t="s">
        <v>24</v>
      </c>
      <c r="Q1904" t="s">
        <v>24</v>
      </c>
    </row>
    <row r="1905" spans="1:17" x14ac:dyDescent="0.25">
      <c r="A1905" t="s">
        <v>1412</v>
      </c>
      <c r="B1905" t="s">
        <v>1413</v>
      </c>
      <c r="C1905" s="1">
        <v>41275</v>
      </c>
      <c r="D1905" s="1">
        <v>41639</v>
      </c>
      <c r="E1905" t="s">
        <v>1414</v>
      </c>
      <c r="G1905" t="s">
        <v>28</v>
      </c>
      <c r="H1905" t="s">
        <v>29</v>
      </c>
      <c r="I1905" t="str">
        <f>"60606"</f>
        <v>60606</v>
      </c>
      <c r="J1905" t="s">
        <v>22</v>
      </c>
      <c r="K1905" t="s">
        <v>23</v>
      </c>
      <c r="L1905" s="2">
        <v>1809420</v>
      </c>
      <c r="M1905" s="2">
        <v>539520</v>
      </c>
      <c r="N1905" s="2">
        <v>0</v>
      </c>
      <c r="O1905" s="2">
        <v>173599</v>
      </c>
      <c r="P1905" t="s">
        <v>24</v>
      </c>
      <c r="Q1905" t="s">
        <v>24</v>
      </c>
    </row>
    <row r="1906" spans="1:17" x14ac:dyDescent="0.25">
      <c r="A1906" t="s">
        <v>7609</v>
      </c>
      <c r="B1906" t="s">
        <v>7610</v>
      </c>
      <c r="C1906" s="1">
        <v>41275</v>
      </c>
      <c r="D1906" s="1">
        <v>41639</v>
      </c>
      <c r="E1906" t="s">
        <v>7611</v>
      </c>
      <c r="G1906" t="s">
        <v>980</v>
      </c>
      <c r="H1906" t="s">
        <v>21</v>
      </c>
      <c r="I1906" t="str">
        <f>"47006"</f>
        <v>47006</v>
      </c>
      <c r="J1906" t="s">
        <v>22</v>
      </c>
      <c r="K1906" t="s">
        <v>30</v>
      </c>
      <c r="L1906" s="2">
        <v>1809125</v>
      </c>
      <c r="M1906" s="2">
        <v>1078933</v>
      </c>
      <c r="N1906" s="2">
        <v>0</v>
      </c>
      <c r="O1906" s="2">
        <v>186068</v>
      </c>
      <c r="P1906" t="s">
        <v>24</v>
      </c>
      <c r="Q1906" t="s">
        <v>24</v>
      </c>
    </row>
    <row r="1907" spans="1:17" x14ac:dyDescent="0.25">
      <c r="A1907" t="s">
        <v>4179</v>
      </c>
      <c r="B1907" t="s">
        <v>4180</v>
      </c>
      <c r="C1907" s="1">
        <v>41275</v>
      </c>
      <c r="D1907" s="1">
        <v>41639</v>
      </c>
      <c r="E1907" t="s">
        <v>142</v>
      </c>
      <c r="G1907" t="s">
        <v>143</v>
      </c>
      <c r="H1907" t="s">
        <v>47</v>
      </c>
      <c r="I1907" t="str">
        <f>"48275"</f>
        <v>48275</v>
      </c>
      <c r="J1907" t="s">
        <v>22</v>
      </c>
      <c r="K1907" t="s">
        <v>91</v>
      </c>
      <c r="L1907" s="2">
        <v>1808558</v>
      </c>
      <c r="M1907" s="2">
        <v>263757</v>
      </c>
      <c r="N1907" s="2">
        <v>0</v>
      </c>
      <c r="O1907" s="2">
        <v>142624</v>
      </c>
      <c r="P1907" t="s">
        <v>24</v>
      </c>
      <c r="Q1907" t="s">
        <v>24</v>
      </c>
    </row>
    <row r="1908" spans="1:17" x14ac:dyDescent="0.25">
      <c r="A1908" t="s">
        <v>7361</v>
      </c>
      <c r="B1908" t="s">
        <v>7362</v>
      </c>
      <c r="C1908" s="1">
        <v>41183</v>
      </c>
      <c r="D1908" s="1">
        <v>41547</v>
      </c>
      <c r="E1908" t="s">
        <v>7363</v>
      </c>
      <c r="G1908" t="s">
        <v>28</v>
      </c>
      <c r="H1908" t="s">
        <v>29</v>
      </c>
      <c r="I1908" t="str">
        <f>"60603"</f>
        <v>60603</v>
      </c>
      <c r="J1908" t="s">
        <v>63</v>
      </c>
      <c r="K1908" t="s">
        <v>23</v>
      </c>
      <c r="L1908" s="2">
        <v>1808414</v>
      </c>
      <c r="M1908" s="2">
        <v>1314827</v>
      </c>
      <c r="N1908" s="2">
        <v>731671</v>
      </c>
      <c r="O1908" s="2">
        <v>2055146</v>
      </c>
      <c r="P1908" s="2">
        <v>205515</v>
      </c>
      <c r="Q1908" s="2">
        <v>25512</v>
      </c>
    </row>
    <row r="1909" spans="1:17" x14ac:dyDescent="0.25">
      <c r="A1909" t="s">
        <v>2409</v>
      </c>
      <c r="B1909" t="s">
        <v>2410</v>
      </c>
      <c r="C1909" s="1">
        <v>41275</v>
      </c>
      <c r="D1909" s="1">
        <v>41639</v>
      </c>
      <c r="E1909" t="s">
        <v>1496</v>
      </c>
      <c r="G1909" t="s">
        <v>167</v>
      </c>
      <c r="H1909" t="s">
        <v>62</v>
      </c>
      <c r="I1909" t="str">
        <f>"45263"</f>
        <v>45263</v>
      </c>
      <c r="J1909" t="s">
        <v>22</v>
      </c>
      <c r="K1909" t="s">
        <v>23</v>
      </c>
      <c r="L1909" s="2">
        <v>1805811</v>
      </c>
      <c r="M1909" s="2">
        <v>675897</v>
      </c>
      <c r="N1909" s="2">
        <v>0</v>
      </c>
      <c r="O1909" s="2">
        <v>119327</v>
      </c>
      <c r="P1909" t="s">
        <v>24</v>
      </c>
      <c r="Q1909" t="s">
        <v>24</v>
      </c>
    </row>
    <row r="1910" spans="1:17" x14ac:dyDescent="0.25">
      <c r="A1910" t="s">
        <v>7108</v>
      </c>
      <c r="B1910" t="s">
        <v>7109</v>
      </c>
      <c r="C1910" s="1">
        <v>41275</v>
      </c>
      <c r="D1910" s="1">
        <v>41639</v>
      </c>
      <c r="E1910" t="s">
        <v>7110</v>
      </c>
      <c r="G1910" t="s">
        <v>28</v>
      </c>
      <c r="H1910" t="s">
        <v>29</v>
      </c>
      <c r="I1910" t="str">
        <f>"60603"</f>
        <v>60603</v>
      </c>
      <c r="J1910" t="s">
        <v>22</v>
      </c>
      <c r="K1910" t="s">
        <v>30</v>
      </c>
      <c r="L1910" s="2">
        <v>1805601</v>
      </c>
      <c r="M1910" s="2">
        <v>6915000</v>
      </c>
      <c r="N1910" s="2">
        <v>0</v>
      </c>
      <c r="O1910" s="2">
        <v>5164414</v>
      </c>
      <c r="P1910" t="s">
        <v>24</v>
      </c>
      <c r="Q1910" t="s">
        <v>24</v>
      </c>
    </row>
    <row r="1911" spans="1:17" x14ac:dyDescent="0.25">
      <c r="A1911" t="s">
        <v>4454</v>
      </c>
      <c r="B1911" t="s">
        <v>4455</v>
      </c>
      <c r="C1911" s="1">
        <v>41244</v>
      </c>
      <c r="D1911" s="1">
        <v>41608</v>
      </c>
      <c r="E1911" t="s">
        <v>4456</v>
      </c>
      <c r="G1911" t="s">
        <v>28</v>
      </c>
      <c r="H1911" t="s">
        <v>29</v>
      </c>
      <c r="I1911" t="str">
        <f>"60611"</f>
        <v>60611</v>
      </c>
      <c r="J1911" t="s">
        <v>22</v>
      </c>
      <c r="K1911" t="s">
        <v>23</v>
      </c>
      <c r="L1911" s="2">
        <v>1804620</v>
      </c>
      <c r="M1911" s="2">
        <v>102847</v>
      </c>
      <c r="N1911" s="2">
        <v>61976</v>
      </c>
      <c r="O1911" s="2">
        <v>91988</v>
      </c>
      <c r="P1911" t="s">
        <v>24</v>
      </c>
      <c r="Q1911" t="s">
        <v>24</v>
      </c>
    </row>
    <row r="1912" spans="1:17" x14ac:dyDescent="0.25">
      <c r="A1912" t="s">
        <v>3355</v>
      </c>
      <c r="B1912" t="s">
        <v>3356</v>
      </c>
      <c r="C1912" s="1">
        <v>41275</v>
      </c>
      <c r="D1912" s="1">
        <v>41639</v>
      </c>
      <c r="E1912" t="s">
        <v>3357</v>
      </c>
      <c r="G1912" t="s">
        <v>3358</v>
      </c>
      <c r="H1912" t="s">
        <v>21</v>
      </c>
      <c r="I1912" t="str">
        <f>"46970"</f>
        <v>46970</v>
      </c>
      <c r="J1912" t="s">
        <v>22</v>
      </c>
      <c r="K1912" t="s">
        <v>30</v>
      </c>
      <c r="L1912" s="2">
        <v>1804140</v>
      </c>
      <c r="M1912" s="2">
        <v>574123</v>
      </c>
      <c r="N1912" s="2">
        <v>0</v>
      </c>
      <c r="O1912" s="2">
        <v>100164</v>
      </c>
      <c r="P1912" t="s">
        <v>24</v>
      </c>
      <c r="Q1912" t="s">
        <v>24</v>
      </c>
    </row>
    <row r="1913" spans="1:17" x14ac:dyDescent="0.25">
      <c r="A1913" t="s">
        <v>7459</v>
      </c>
      <c r="B1913" t="s">
        <v>7460</v>
      </c>
      <c r="C1913" s="1">
        <v>41275</v>
      </c>
      <c r="D1913" s="1">
        <v>41639</v>
      </c>
      <c r="E1913" t="s">
        <v>7461</v>
      </c>
      <c r="G1913" t="s">
        <v>20</v>
      </c>
      <c r="H1913" t="s">
        <v>21</v>
      </c>
      <c r="I1913" t="str">
        <f>"46204"</f>
        <v>46204</v>
      </c>
      <c r="J1913" t="s">
        <v>22</v>
      </c>
      <c r="K1913" t="s">
        <v>23</v>
      </c>
      <c r="L1913" s="2">
        <v>1803317</v>
      </c>
      <c r="M1913" s="2">
        <v>4273733</v>
      </c>
      <c r="N1913" s="2">
        <v>0</v>
      </c>
      <c r="O1913" s="2">
        <v>292203</v>
      </c>
      <c r="P1913" t="s">
        <v>24</v>
      </c>
      <c r="Q1913" t="s">
        <v>24</v>
      </c>
    </row>
    <row r="1914" spans="1:17" x14ac:dyDescent="0.25">
      <c r="A1914" t="s">
        <v>5202</v>
      </c>
      <c r="B1914" t="s">
        <v>5203</v>
      </c>
      <c r="C1914" s="1">
        <v>41275</v>
      </c>
      <c r="D1914" s="1">
        <v>41639</v>
      </c>
      <c r="E1914" t="s">
        <v>5204</v>
      </c>
      <c r="G1914" t="s">
        <v>1386</v>
      </c>
      <c r="H1914" t="s">
        <v>47</v>
      </c>
      <c r="I1914" t="str">
        <f>"48507"</f>
        <v>48507</v>
      </c>
      <c r="J1914" t="s">
        <v>22</v>
      </c>
      <c r="K1914" t="s">
        <v>23</v>
      </c>
      <c r="L1914" s="2">
        <v>1801861</v>
      </c>
      <c r="M1914" s="2">
        <v>157580</v>
      </c>
      <c r="N1914" s="2">
        <v>0</v>
      </c>
      <c r="O1914" s="2">
        <v>140211</v>
      </c>
      <c r="P1914" t="s">
        <v>24</v>
      </c>
      <c r="Q1914" t="s">
        <v>24</v>
      </c>
    </row>
    <row r="1915" spans="1:17" x14ac:dyDescent="0.25">
      <c r="A1915" t="s">
        <v>4363</v>
      </c>
      <c r="B1915" t="s">
        <v>4364</v>
      </c>
      <c r="C1915" s="1">
        <v>40909</v>
      </c>
      <c r="D1915" s="1">
        <v>41274</v>
      </c>
      <c r="E1915" t="s">
        <v>4365</v>
      </c>
      <c r="G1915" t="s">
        <v>1625</v>
      </c>
      <c r="H1915" t="s">
        <v>42</v>
      </c>
      <c r="I1915" t="str">
        <f>"53005"</f>
        <v>53005</v>
      </c>
      <c r="J1915" t="s">
        <v>22</v>
      </c>
      <c r="K1915" t="s">
        <v>30</v>
      </c>
      <c r="L1915" s="2">
        <v>1800627</v>
      </c>
      <c r="M1915" s="2">
        <v>462437</v>
      </c>
      <c r="N1915" s="2">
        <v>0</v>
      </c>
      <c r="O1915" s="2">
        <v>139251</v>
      </c>
      <c r="P1915" t="s">
        <v>24</v>
      </c>
      <c r="Q1915" t="s">
        <v>24</v>
      </c>
    </row>
    <row r="1916" spans="1:17" x14ac:dyDescent="0.25">
      <c r="A1916" t="s">
        <v>48</v>
      </c>
      <c r="B1916" t="s">
        <v>49</v>
      </c>
      <c r="C1916" s="1">
        <v>41456</v>
      </c>
      <c r="D1916" s="1">
        <v>41820</v>
      </c>
      <c r="E1916" t="s">
        <v>50</v>
      </c>
      <c r="G1916" t="s">
        <v>28</v>
      </c>
      <c r="H1916" t="s">
        <v>29</v>
      </c>
      <c r="I1916" t="str">
        <f>"60603"</f>
        <v>60603</v>
      </c>
      <c r="J1916" t="s">
        <v>22</v>
      </c>
      <c r="K1916" t="s">
        <v>23</v>
      </c>
      <c r="L1916" s="2">
        <v>1799466</v>
      </c>
      <c r="M1916" s="2">
        <v>675382</v>
      </c>
      <c r="N1916" s="2">
        <v>0</v>
      </c>
      <c r="O1916" s="2">
        <v>74190</v>
      </c>
      <c r="P1916" t="s">
        <v>24</v>
      </c>
      <c r="Q1916" t="s">
        <v>24</v>
      </c>
    </row>
    <row r="1917" spans="1:17" x14ac:dyDescent="0.25">
      <c r="A1917" t="s">
        <v>2231</v>
      </c>
      <c r="B1917" t="s">
        <v>2232</v>
      </c>
      <c r="C1917" s="1">
        <v>41275</v>
      </c>
      <c r="D1917" s="1">
        <v>41639</v>
      </c>
      <c r="E1917" t="s">
        <v>2233</v>
      </c>
      <c r="G1917" t="s">
        <v>2234</v>
      </c>
      <c r="H1917" t="s">
        <v>29</v>
      </c>
      <c r="I1917" t="str">
        <f>"61068"</f>
        <v>61068</v>
      </c>
      <c r="J1917" t="s">
        <v>63</v>
      </c>
      <c r="K1917" t="s">
        <v>64</v>
      </c>
      <c r="L1917" s="2">
        <v>1798211</v>
      </c>
      <c r="M1917" s="2">
        <v>175499</v>
      </c>
      <c r="N1917" s="2">
        <v>42063</v>
      </c>
      <c r="O1917" s="2">
        <v>186338</v>
      </c>
      <c r="P1917" s="2">
        <v>0</v>
      </c>
      <c r="Q1917" s="2">
        <v>0</v>
      </c>
    </row>
    <row r="1918" spans="1:17" x14ac:dyDescent="0.25">
      <c r="A1918" t="s">
        <v>4098</v>
      </c>
      <c r="B1918" t="s">
        <v>4099</v>
      </c>
      <c r="C1918" s="1">
        <v>41275</v>
      </c>
      <c r="D1918" s="1">
        <v>41639</v>
      </c>
      <c r="E1918" t="s">
        <v>40</v>
      </c>
      <c r="G1918" t="s">
        <v>41</v>
      </c>
      <c r="H1918" t="s">
        <v>42</v>
      </c>
      <c r="I1918" t="str">
        <f>"53201"</f>
        <v>53201</v>
      </c>
      <c r="J1918" t="s">
        <v>22</v>
      </c>
      <c r="K1918" t="s">
        <v>23</v>
      </c>
      <c r="L1918" s="2">
        <v>1793723</v>
      </c>
      <c r="M1918" s="2">
        <v>912328</v>
      </c>
      <c r="N1918" s="2">
        <v>0</v>
      </c>
      <c r="O1918" s="2">
        <v>103692</v>
      </c>
      <c r="P1918" t="s">
        <v>24</v>
      </c>
      <c r="Q1918" t="s">
        <v>24</v>
      </c>
    </row>
    <row r="1919" spans="1:17" x14ac:dyDescent="0.25">
      <c r="A1919" t="s">
        <v>2008</v>
      </c>
      <c r="B1919" t="s">
        <v>2009</v>
      </c>
      <c r="C1919" s="1">
        <v>41275</v>
      </c>
      <c r="D1919" s="1">
        <v>41639</v>
      </c>
      <c r="E1919" t="s">
        <v>2010</v>
      </c>
      <c r="G1919" t="s">
        <v>1792</v>
      </c>
      <c r="H1919" t="s">
        <v>47</v>
      </c>
      <c r="I1919" t="str">
        <f>"48304"</f>
        <v>48304</v>
      </c>
      <c r="J1919" t="s">
        <v>22</v>
      </c>
      <c r="K1919" t="s">
        <v>23</v>
      </c>
      <c r="L1919" s="2">
        <v>1791696</v>
      </c>
      <c r="M1919" s="2">
        <v>1887255</v>
      </c>
      <c r="N1919" s="2">
        <v>0</v>
      </c>
      <c r="O1919" s="2">
        <v>107994</v>
      </c>
      <c r="P1919" t="s">
        <v>24</v>
      </c>
      <c r="Q1919" t="s">
        <v>24</v>
      </c>
    </row>
    <row r="1920" spans="1:17" x14ac:dyDescent="0.25">
      <c r="A1920" t="s">
        <v>4505</v>
      </c>
      <c r="B1920" t="s">
        <v>4506</v>
      </c>
      <c r="C1920" s="1">
        <v>41275</v>
      </c>
      <c r="D1920" s="1">
        <v>41639</v>
      </c>
      <c r="E1920" t="s">
        <v>4507</v>
      </c>
      <c r="G1920" t="s">
        <v>4508</v>
      </c>
      <c r="H1920" t="s">
        <v>29</v>
      </c>
      <c r="I1920" t="str">
        <f>"60140"</f>
        <v>60140</v>
      </c>
      <c r="J1920" t="s">
        <v>22</v>
      </c>
      <c r="K1920" t="s">
        <v>30</v>
      </c>
      <c r="L1920" s="2">
        <v>1791070</v>
      </c>
      <c r="M1920" s="2">
        <v>1090493</v>
      </c>
      <c r="N1920" s="2">
        <v>0</v>
      </c>
      <c r="O1920" s="2">
        <v>73303</v>
      </c>
      <c r="P1920" t="s">
        <v>24</v>
      </c>
      <c r="Q1920" t="s">
        <v>24</v>
      </c>
    </row>
    <row r="1921" spans="1:17" x14ac:dyDescent="0.25">
      <c r="A1921" t="s">
        <v>120</v>
      </c>
      <c r="B1921" t="s">
        <v>121</v>
      </c>
      <c r="C1921" s="1">
        <v>41609</v>
      </c>
      <c r="D1921" s="1">
        <v>41973</v>
      </c>
      <c r="E1921" t="s">
        <v>122</v>
      </c>
      <c r="G1921" t="s">
        <v>41</v>
      </c>
      <c r="H1921" t="s">
        <v>42</v>
      </c>
      <c r="I1921" t="str">
        <f>"53226"</f>
        <v>53226</v>
      </c>
      <c r="J1921" t="s">
        <v>22</v>
      </c>
      <c r="K1921" t="s">
        <v>30</v>
      </c>
      <c r="L1921" s="2">
        <v>1790669</v>
      </c>
      <c r="M1921" s="2">
        <v>337953</v>
      </c>
      <c r="N1921" s="2">
        <v>0</v>
      </c>
      <c r="O1921" s="2">
        <v>87613</v>
      </c>
      <c r="P1921" t="s">
        <v>24</v>
      </c>
      <c r="Q1921" t="s">
        <v>24</v>
      </c>
    </row>
    <row r="1922" spans="1:17" x14ac:dyDescent="0.25">
      <c r="A1922" t="s">
        <v>7075</v>
      </c>
      <c r="B1922" t="s">
        <v>7076</v>
      </c>
      <c r="C1922" s="1">
        <v>41275</v>
      </c>
      <c r="D1922" s="1">
        <v>41639</v>
      </c>
      <c r="E1922" t="s">
        <v>7077</v>
      </c>
      <c r="G1922" t="s">
        <v>1809</v>
      </c>
      <c r="H1922" t="s">
        <v>29</v>
      </c>
      <c r="I1922" t="str">
        <f>"60045"</f>
        <v>60045</v>
      </c>
      <c r="J1922" t="s">
        <v>22</v>
      </c>
      <c r="K1922" t="s">
        <v>23</v>
      </c>
      <c r="L1922" s="2">
        <v>1789309</v>
      </c>
      <c r="M1922" s="2">
        <v>1130659</v>
      </c>
      <c r="N1922" s="2">
        <v>0</v>
      </c>
      <c r="O1922" s="2">
        <v>59432</v>
      </c>
      <c r="P1922" t="s">
        <v>24</v>
      </c>
      <c r="Q1922" t="s">
        <v>24</v>
      </c>
    </row>
    <row r="1923" spans="1:17" x14ac:dyDescent="0.25">
      <c r="A1923" t="s">
        <v>7182</v>
      </c>
      <c r="B1923" t="s">
        <v>7183</v>
      </c>
      <c r="C1923" s="1">
        <v>41275</v>
      </c>
      <c r="D1923" s="1">
        <v>41639</v>
      </c>
      <c r="E1923" t="s">
        <v>7184</v>
      </c>
      <c r="G1923" t="s">
        <v>108</v>
      </c>
      <c r="H1923" t="s">
        <v>29</v>
      </c>
      <c r="I1923" t="str">
        <f>"60018"</f>
        <v>60018</v>
      </c>
      <c r="J1923" t="s">
        <v>63</v>
      </c>
      <c r="K1923" t="s">
        <v>79</v>
      </c>
      <c r="L1923" s="2">
        <v>1787566</v>
      </c>
      <c r="M1923" s="2">
        <v>1694854</v>
      </c>
      <c r="N1923" s="2">
        <v>120970</v>
      </c>
      <c r="O1923" s="2">
        <v>1134776</v>
      </c>
      <c r="P1923" s="2">
        <v>30178</v>
      </c>
      <c r="Q1923" s="2">
        <v>0</v>
      </c>
    </row>
    <row r="1924" spans="1:17" x14ac:dyDescent="0.25">
      <c r="A1924" t="s">
        <v>1883</v>
      </c>
      <c r="B1924" t="s">
        <v>1884</v>
      </c>
      <c r="C1924" s="1">
        <v>41426</v>
      </c>
      <c r="D1924" s="1">
        <v>41790</v>
      </c>
      <c r="E1924" t="s">
        <v>1885</v>
      </c>
      <c r="G1924" t="s">
        <v>764</v>
      </c>
      <c r="H1924" t="s">
        <v>62</v>
      </c>
      <c r="I1924" t="str">
        <f>"43130"</f>
        <v>43130</v>
      </c>
      <c r="J1924" t="s">
        <v>22</v>
      </c>
      <c r="K1924" t="s">
        <v>30</v>
      </c>
      <c r="L1924" s="2">
        <v>1786910</v>
      </c>
      <c r="M1924" s="2">
        <v>1158988</v>
      </c>
      <c r="N1924" s="2">
        <v>2499</v>
      </c>
      <c r="O1924" s="2">
        <v>84130</v>
      </c>
      <c r="P1924" t="s">
        <v>24</v>
      </c>
      <c r="Q1924" t="s">
        <v>24</v>
      </c>
    </row>
    <row r="1925" spans="1:17" x14ac:dyDescent="0.25">
      <c r="A1925" t="s">
        <v>4386</v>
      </c>
      <c r="B1925" t="s">
        <v>4387</v>
      </c>
      <c r="C1925" s="1">
        <v>40909</v>
      </c>
      <c r="D1925" s="1">
        <v>41274</v>
      </c>
      <c r="E1925" t="s">
        <v>4388</v>
      </c>
      <c r="G1925" t="s">
        <v>1809</v>
      </c>
      <c r="H1925" t="s">
        <v>29</v>
      </c>
      <c r="I1925" t="str">
        <f>"60045"</f>
        <v>60045</v>
      </c>
      <c r="J1925" t="s">
        <v>22</v>
      </c>
      <c r="K1925" t="s">
        <v>30</v>
      </c>
      <c r="L1925" s="2">
        <v>1786153</v>
      </c>
      <c r="M1925" s="2">
        <v>1751285</v>
      </c>
      <c r="N1925" s="2">
        <v>0</v>
      </c>
      <c r="O1925" s="2">
        <v>281600</v>
      </c>
      <c r="P1925" t="s">
        <v>24</v>
      </c>
      <c r="Q1925" t="s">
        <v>24</v>
      </c>
    </row>
    <row r="1926" spans="1:17" x14ac:dyDescent="0.25">
      <c r="A1926" t="s">
        <v>1645</v>
      </c>
      <c r="B1926" t="s">
        <v>1646</v>
      </c>
      <c r="C1926" s="1">
        <v>41456</v>
      </c>
      <c r="D1926" s="1">
        <v>41820</v>
      </c>
      <c r="E1926" t="s">
        <v>1647</v>
      </c>
      <c r="G1926" t="s">
        <v>1648</v>
      </c>
      <c r="H1926" t="s">
        <v>29</v>
      </c>
      <c r="I1926" t="str">
        <f>"61824"</f>
        <v>61824</v>
      </c>
      <c r="J1926" t="s">
        <v>63</v>
      </c>
      <c r="K1926" t="s">
        <v>1649</v>
      </c>
      <c r="L1926" s="2">
        <v>1783253</v>
      </c>
      <c r="M1926" s="2">
        <v>347659</v>
      </c>
      <c r="N1926" s="2">
        <v>802893</v>
      </c>
      <c r="O1926" s="2">
        <v>331266</v>
      </c>
      <c r="P1926" s="2">
        <v>41261</v>
      </c>
      <c r="Q1926" s="2">
        <v>41249</v>
      </c>
    </row>
    <row r="1927" spans="1:17" x14ac:dyDescent="0.25">
      <c r="A1927" t="s">
        <v>4675</v>
      </c>
      <c r="B1927" t="s">
        <v>4676</v>
      </c>
      <c r="C1927" s="1">
        <v>40909</v>
      </c>
      <c r="D1927" s="1">
        <v>41274</v>
      </c>
      <c r="E1927" t="s">
        <v>4677</v>
      </c>
      <c r="G1927" t="s">
        <v>1965</v>
      </c>
      <c r="H1927" t="s">
        <v>47</v>
      </c>
      <c r="I1927" t="str">
        <f>"48170"</f>
        <v>48170</v>
      </c>
      <c r="J1927" t="s">
        <v>22</v>
      </c>
      <c r="K1927" t="s">
        <v>23</v>
      </c>
      <c r="L1927" s="2">
        <v>1782905</v>
      </c>
      <c r="M1927" s="2">
        <v>217172</v>
      </c>
      <c r="N1927" s="2">
        <v>0</v>
      </c>
      <c r="O1927" s="2">
        <v>70740</v>
      </c>
      <c r="P1927" t="s">
        <v>24</v>
      </c>
      <c r="Q1927" t="s">
        <v>24</v>
      </c>
    </row>
    <row r="1928" spans="1:17" x14ac:dyDescent="0.25">
      <c r="A1928" t="s">
        <v>2693</v>
      </c>
      <c r="B1928" t="s">
        <v>2694</v>
      </c>
      <c r="C1928" s="1">
        <v>41275</v>
      </c>
      <c r="D1928" s="1">
        <v>41639</v>
      </c>
      <c r="E1928" t="s">
        <v>2695</v>
      </c>
      <c r="G1928" t="s">
        <v>28</v>
      </c>
      <c r="H1928" t="s">
        <v>29</v>
      </c>
      <c r="I1928" t="str">
        <f>"60654"</f>
        <v>60654</v>
      </c>
      <c r="J1928" t="s">
        <v>22</v>
      </c>
      <c r="K1928" t="s">
        <v>23</v>
      </c>
      <c r="L1928" s="2">
        <v>1782350</v>
      </c>
      <c r="M1928" s="2">
        <v>337192</v>
      </c>
      <c r="N1928" s="2">
        <v>0</v>
      </c>
      <c r="O1928" s="2">
        <v>161601</v>
      </c>
      <c r="P1928" t="s">
        <v>24</v>
      </c>
      <c r="Q1928" t="s">
        <v>24</v>
      </c>
    </row>
    <row r="1929" spans="1:17" x14ac:dyDescent="0.25">
      <c r="A1929" t="s">
        <v>1717</v>
      </c>
      <c r="B1929" t="s">
        <v>1718</v>
      </c>
      <c r="C1929" s="1">
        <v>40909</v>
      </c>
      <c r="D1929" s="1">
        <v>41274</v>
      </c>
      <c r="E1929" t="s">
        <v>1719</v>
      </c>
      <c r="G1929" t="s">
        <v>1720</v>
      </c>
      <c r="H1929" t="s">
        <v>62</v>
      </c>
      <c r="I1929" t="str">
        <f>"45152"</f>
        <v>45152</v>
      </c>
      <c r="J1929" t="s">
        <v>22</v>
      </c>
      <c r="K1929" t="s">
        <v>79</v>
      </c>
      <c r="L1929" s="2">
        <v>1776801</v>
      </c>
      <c r="M1929" s="2">
        <v>644900</v>
      </c>
      <c r="N1929" s="2">
        <v>0</v>
      </c>
      <c r="O1929" s="2">
        <v>228168</v>
      </c>
      <c r="P1929" t="s">
        <v>24</v>
      </c>
      <c r="Q1929" t="s">
        <v>24</v>
      </c>
    </row>
    <row r="1930" spans="1:17" x14ac:dyDescent="0.25">
      <c r="A1930" t="s">
        <v>395</v>
      </c>
      <c r="B1930" t="s">
        <v>396</v>
      </c>
      <c r="C1930" s="1">
        <v>41275</v>
      </c>
      <c r="D1930" s="1">
        <v>41639</v>
      </c>
      <c r="E1930" t="s">
        <v>397</v>
      </c>
      <c r="G1930" t="s">
        <v>28</v>
      </c>
      <c r="H1930" t="s">
        <v>29</v>
      </c>
      <c r="I1930" t="str">
        <f>"60613"</f>
        <v>60613</v>
      </c>
      <c r="J1930" t="s">
        <v>22</v>
      </c>
      <c r="K1930" t="s">
        <v>23</v>
      </c>
      <c r="L1930" s="2">
        <v>1772542</v>
      </c>
      <c r="M1930" s="2">
        <v>449201</v>
      </c>
      <c r="N1930" s="2">
        <v>0</v>
      </c>
      <c r="O1930" s="2">
        <v>367215</v>
      </c>
      <c r="P1930" t="s">
        <v>24</v>
      </c>
      <c r="Q1930" t="s">
        <v>24</v>
      </c>
    </row>
    <row r="1931" spans="1:17" x14ac:dyDescent="0.25">
      <c r="A1931" t="s">
        <v>3715</v>
      </c>
      <c r="B1931" t="s">
        <v>3716</v>
      </c>
      <c r="C1931" s="1">
        <v>41275</v>
      </c>
      <c r="D1931" s="1">
        <v>41639</v>
      </c>
      <c r="E1931" t="s">
        <v>3717</v>
      </c>
      <c r="G1931" t="s">
        <v>184</v>
      </c>
      <c r="H1931" t="s">
        <v>29</v>
      </c>
      <c r="I1931" t="str">
        <f>"60015"</f>
        <v>60015</v>
      </c>
      <c r="J1931" t="s">
        <v>22</v>
      </c>
      <c r="K1931" t="s">
        <v>30</v>
      </c>
      <c r="L1931" s="2">
        <v>1770781</v>
      </c>
      <c r="M1931" s="2">
        <v>586201</v>
      </c>
      <c r="N1931" s="2">
        <v>0</v>
      </c>
      <c r="O1931" s="2">
        <v>9329</v>
      </c>
      <c r="P1931" t="s">
        <v>24</v>
      </c>
      <c r="Q1931" t="s">
        <v>24</v>
      </c>
    </row>
    <row r="1932" spans="1:17" x14ac:dyDescent="0.25">
      <c r="A1932" t="s">
        <v>1599</v>
      </c>
      <c r="B1932" t="s">
        <v>1600</v>
      </c>
      <c r="C1932" s="1">
        <v>41061</v>
      </c>
      <c r="D1932" s="1">
        <v>41425</v>
      </c>
      <c r="E1932" t="s">
        <v>1601</v>
      </c>
      <c r="G1932" t="s">
        <v>1042</v>
      </c>
      <c r="H1932" t="s">
        <v>47</v>
      </c>
      <c r="I1932" t="str">
        <f>"48301"</f>
        <v>48301</v>
      </c>
      <c r="J1932" t="s">
        <v>63</v>
      </c>
      <c r="K1932" t="s">
        <v>30</v>
      </c>
      <c r="L1932" s="2">
        <v>1767367</v>
      </c>
      <c r="M1932" s="2">
        <v>108595</v>
      </c>
      <c r="N1932" s="2">
        <v>0</v>
      </c>
      <c r="O1932" s="2">
        <v>18791</v>
      </c>
      <c r="P1932" s="2">
        <v>18791</v>
      </c>
      <c r="Q1932" s="2">
        <v>0</v>
      </c>
    </row>
    <row r="1933" spans="1:17" x14ac:dyDescent="0.25">
      <c r="A1933" t="s">
        <v>5424</v>
      </c>
      <c r="B1933" t="s">
        <v>5425</v>
      </c>
      <c r="C1933" s="1">
        <v>41275</v>
      </c>
      <c r="D1933" s="1">
        <v>41639</v>
      </c>
      <c r="E1933" t="s">
        <v>1956</v>
      </c>
      <c r="G1933" t="s">
        <v>147</v>
      </c>
      <c r="H1933" t="s">
        <v>62</v>
      </c>
      <c r="I1933" t="str">
        <f>"44333"</f>
        <v>44333</v>
      </c>
      <c r="J1933" t="s">
        <v>22</v>
      </c>
      <c r="K1933" t="s">
        <v>23</v>
      </c>
      <c r="L1933" s="2">
        <v>1766352</v>
      </c>
      <c r="M1933" s="2">
        <v>241682</v>
      </c>
      <c r="N1933" s="2">
        <v>1593</v>
      </c>
      <c r="O1933" s="2">
        <v>87180</v>
      </c>
      <c r="P1933" t="s">
        <v>24</v>
      </c>
      <c r="Q1933" t="s">
        <v>24</v>
      </c>
    </row>
    <row r="1934" spans="1:17" x14ac:dyDescent="0.25">
      <c r="A1934" t="s">
        <v>3424</v>
      </c>
      <c r="B1934" t="s">
        <v>3425</v>
      </c>
      <c r="C1934" s="1">
        <v>41518</v>
      </c>
      <c r="D1934" s="1">
        <v>41882</v>
      </c>
      <c r="E1934" t="s">
        <v>146</v>
      </c>
      <c r="G1934" t="s">
        <v>147</v>
      </c>
      <c r="H1934" t="s">
        <v>62</v>
      </c>
      <c r="I1934" t="str">
        <f>"44308"</f>
        <v>44308</v>
      </c>
      <c r="J1934" t="s">
        <v>22</v>
      </c>
      <c r="K1934" t="s">
        <v>23</v>
      </c>
      <c r="L1934" s="2">
        <v>1765647</v>
      </c>
      <c r="M1934" s="2">
        <v>233417</v>
      </c>
      <c r="N1934" s="2">
        <v>0</v>
      </c>
      <c r="O1934" s="2">
        <v>81816</v>
      </c>
      <c r="P1934" t="s">
        <v>24</v>
      </c>
      <c r="Q1934" t="s">
        <v>24</v>
      </c>
    </row>
    <row r="1935" spans="1:17" x14ac:dyDescent="0.25">
      <c r="A1935" t="s">
        <v>1500</v>
      </c>
      <c r="B1935" t="s">
        <v>1501</v>
      </c>
      <c r="C1935" s="1">
        <v>41122</v>
      </c>
      <c r="D1935" s="1">
        <v>41486</v>
      </c>
      <c r="E1935" t="s">
        <v>702</v>
      </c>
      <c r="G1935" t="s">
        <v>28</v>
      </c>
      <c r="H1935" t="s">
        <v>29</v>
      </c>
      <c r="I1935" t="str">
        <f>"60603"</f>
        <v>60603</v>
      </c>
      <c r="J1935" t="s">
        <v>22</v>
      </c>
      <c r="K1935" t="s">
        <v>30</v>
      </c>
      <c r="L1935" s="2">
        <v>1763788</v>
      </c>
      <c r="M1935" s="2">
        <v>566034</v>
      </c>
      <c r="N1935" s="2">
        <v>0</v>
      </c>
      <c r="O1935" s="2">
        <v>101480</v>
      </c>
      <c r="P1935" t="s">
        <v>24</v>
      </c>
      <c r="Q1935" t="s">
        <v>24</v>
      </c>
    </row>
    <row r="1936" spans="1:17" x14ac:dyDescent="0.25">
      <c r="A1936" t="s">
        <v>4823</v>
      </c>
      <c r="B1936" t="s">
        <v>4824</v>
      </c>
      <c r="C1936" s="1">
        <v>41275</v>
      </c>
      <c r="D1936" s="1">
        <v>41639</v>
      </c>
      <c r="E1936" t="s">
        <v>4825</v>
      </c>
      <c r="G1936" t="s">
        <v>143</v>
      </c>
      <c r="H1936" t="s">
        <v>47</v>
      </c>
      <c r="I1936" t="str">
        <f>"48201"</f>
        <v>48201</v>
      </c>
      <c r="J1936" t="s">
        <v>63</v>
      </c>
      <c r="K1936" t="s">
        <v>30</v>
      </c>
      <c r="L1936" s="2">
        <v>1762758</v>
      </c>
      <c r="M1936" s="2">
        <v>668433</v>
      </c>
      <c r="N1936" s="2">
        <v>8897</v>
      </c>
      <c r="O1936" s="2">
        <v>450295</v>
      </c>
      <c r="P1936" s="2">
        <v>90059</v>
      </c>
      <c r="Q1936" s="2">
        <v>0</v>
      </c>
    </row>
    <row r="1937" spans="1:17" x14ac:dyDescent="0.25">
      <c r="A1937" t="s">
        <v>3831</v>
      </c>
      <c r="B1937" t="s">
        <v>3832</v>
      </c>
      <c r="C1937" s="1">
        <v>41275</v>
      </c>
      <c r="D1937" s="1">
        <v>41639</v>
      </c>
      <c r="E1937" t="s">
        <v>3833</v>
      </c>
      <c r="G1937" t="s">
        <v>2354</v>
      </c>
      <c r="H1937" t="s">
        <v>42</v>
      </c>
      <c r="I1937" t="str">
        <f>"53589"</f>
        <v>53589</v>
      </c>
      <c r="J1937" t="s">
        <v>22</v>
      </c>
      <c r="K1937" t="s">
        <v>23</v>
      </c>
      <c r="L1937" s="2">
        <v>1762553</v>
      </c>
      <c r="M1937" s="2">
        <v>1287035</v>
      </c>
      <c r="N1937" s="2">
        <v>0</v>
      </c>
      <c r="O1937" s="2">
        <v>49321</v>
      </c>
      <c r="P1937" t="s">
        <v>24</v>
      </c>
      <c r="Q1937" t="s">
        <v>24</v>
      </c>
    </row>
    <row r="1938" spans="1:17" x14ac:dyDescent="0.25">
      <c r="A1938" t="s">
        <v>6488</v>
      </c>
      <c r="B1938" t="s">
        <v>6489</v>
      </c>
      <c r="C1938" s="1">
        <v>41275</v>
      </c>
      <c r="D1938" s="1">
        <v>41639</v>
      </c>
      <c r="E1938" t="s">
        <v>6490</v>
      </c>
      <c r="G1938" t="s">
        <v>167</v>
      </c>
      <c r="H1938" t="s">
        <v>62</v>
      </c>
      <c r="I1938" t="str">
        <f>"45232"</f>
        <v>45232</v>
      </c>
      <c r="J1938" t="s">
        <v>22</v>
      </c>
      <c r="K1938" t="s">
        <v>30</v>
      </c>
      <c r="L1938" s="2">
        <v>1757186</v>
      </c>
      <c r="M1938" s="2">
        <v>1586410</v>
      </c>
      <c r="N1938" s="2">
        <v>0</v>
      </c>
      <c r="O1938" s="2">
        <v>74792</v>
      </c>
      <c r="P1938" t="s">
        <v>24</v>
      </c>
      <c r="Q1938" t="s">
        <v>24</v>
      </c>
    </row>
    <row r="1939" spans="1:17" x14ac:dyDescent="0.25">
      <c r="A1939" t="s">
        <v>7697</v>
      </c>
      <c r="B1939" t="s">
        <v>7698</v>
      </c>
      <c r="C1939" s="1">
        <v>41275</v>
      </c>
      <c r="D1939" s="1">
        <v>41639</v>
      </c>
      <c r="E1939" t="s">
        <v>7699</v>
      </c>
      <c r="G1939" t="s">
        <v>2454</v>
      </c>
      <c r="H1939" t="s">
        <v>42</v>
      </c>
      <c r="I1939" t="str">
        <f>"53081"</f>
        <v>53081</v>
      </c>
      <c r="J1939" t="s">
        <v>22</v>
      </c>
      <c r="K1939" t="s">
        <v>23</v>
      </c>
      <c r="L1939" s="2">
        <v>1756780</v>
      </c>
      <c r="M1939" s="2">
        <v>1792166</v>
      </c>
      <c r="N1939" s="2">
        <v>0</v>
      </c>
      <c r="O1939" s="2">
        <v>50000</v>
      </c>
      <c r="P1939" t="s">
        <v>24</v>
      </c>
      <c r="Q1939" t="s">
        <v>24</v>
      </c>
    </row>
    <row r="1940" spans="1:17" x14ac:dyDescent="0.25">
      <c r="A1940" t="s">
        <v>6675</v>
      </c>
      <c r="B1940" t="s">
        <v>6676</v>
      </c>
      <c r="C1940" s="1">
        <v>41275</v>
      </c>
      <c r="D1940" s="1">
        <v>41639</v>
      </c>
      <c r="E1940" t="s">
        <v>6677</v>
      </c>
      <c r="G1940" t="s">
        <v>6678</v>
      </c>
      <c r="H1940" t="s">
        <v>78</v>
      </c>
      <c r="I1940" t="str">
        <f>"40311"</f>
        <v>40311</v>
      </c>
      <c r="J1940" t="s">
        <v>22</v>
      </c>
      <c r="K1940" t="s">
        <v>64</v>
      </c>
      <c r="L1940" s="2">
        <v>1756565</v>
      </c>
      <c r="M1940" s="2">
        <v>1151184</v>
      </c>
      <c r="N1940" s="2">
        <v>0</v>
      </c>
      <c r="O1940" s="2">
        <v>253183</v>
      </c>
      <c r="P1940" t="s">
        <v>24</v>
      </c>
      <c r="Q1940" t="s">
        <v>24</v>
      </c>
    </row>
    <row r="1941" spans="1:17" x14ac:dyDescent="0.25">
      <c r="A1941" t="s">
        <v>5686</v>
      </c>
      <c r="B1941" t="s">
        <v>5687</v>
      </c>
      <c r="C1941" s="1">
        <v>41275</v>
      </c>
      <c r="D1941" s="1">
        <v>41639</v>
      </c>
      <c r="E1941" t="s">
        <v>5688</v>
      </c>
      <c r="G1941" t="s">
        <v>77</v>
      </c>
      <c r="H1941" t="s">
        <v>78</v>
      </c>
      <c r="I1941" t="str">
        <f>"40242"</f>
        <v>40242</v>
      </c>
      <c r="J1941" t="s">
        <v>22</v>
      </c>
      <c r="K1941" t="s">
        <v>23</v>
      </c>
      <c r="L1941" s="2">
        <v>1755324</v>
      </c>
      <c r="M1941" s="2">
        <v>1156355</v>
      </c>
      <c r="N1941" s="2">
        <v>1755324</v>
      </c>
      <c r="O1941" s="2">
        <v>94730</v>
      </c>
      <c r="P1941" t="s">
        <v>24</v>
      </c>
      <c r="Q1941" t="s">
        <v>24</v>
      </c>
    </row>
    <row r="1942" spans="1:17" x14ac:dyDescent="0.25">
      <c r="A1942" t="s">
        <v>679</v>
      </c>
      <c r="B1942" t="s">
        <v>680</v>
      </c>
      <c r="C1942" s="1">
        <v>41275</v>
      </c>
      <c r="D1942" s="1">
        <v>41639</v>
      </c>
      <c r="E1942" t="s">
        <v>40</v>
      </c>
      <c r="G1942" t="s">
        <v>41</v>
      </c>
      <c r="H1942" t="s">
        <v>42</v>
      </c>
      <c r="I1942" t="str">
        <f>"53201"</f>
        <v>53201</v>
      </c>
      <c r="J1942" t="s">
        <v>22</v>
      </c>
      <c r="K1942" t="s">
        <v>30</v>
      </c>
      <c r="L1942" s="2">
        <v>1750570</v>
      </c>
      <c r="M1942" s="2">
        <v>1366410</v>
      </c>
      <c r="N1942" s="2">
        <v>363</v>
      </c>
      <c r="O1942" s="2">
        <v>96246</v>
      </c>
      <c r="P1942" t="s">
        <v>24</v>
      </c>
      <c r="Q1942" t="s">
        <v>24</v>
      </c>
    </row>
    <row r="1943" spans="1:17" x14ac:dyDescent="0.25">
      <c r="A1943" t="s">
        <v>2664</v>
      </c>
      <c r="B1943" t="s">
        <v>2665</v>
      </c>
      <c r="C1943" s="1">
        <v>41275</v>
      </c>
      <c r="D1943" s="1">
        <v>41639</v>
      </c>
      <c r="E1943" t="s">
        <v>104</v>
      </c>
      <c r="G1943" t="s">
        <v>28</v>
      </c>
      <c r="H1943" t="s">
        <v>29</v>
      </c>
      <c r="I1943" t="str">
        <f>"60680"</f>
        <v>60680</v>
      </c>
      <c r="J1943" t="s">
        <v>22</v>
      </c>
      <c r="K1943" t="s">
        <v>30</v>
      </c>
      <c r="L1943" s="2">
        <v>1750185</v>
      </c>
      <c r="M1943" s="2">
        <v>667002</v>
      </c>
      <c r="N1943" s="2">
        <v>0</v>
      </c>
      <c r="O1943" s="2">
        <v>102598</v>
      </c>
      <c r="P1943" t="s">
        <v>24</v>
      </c>
      <c r="Q1943" t="s">
        <v>24</v>
      </c>
    </row>
    <row r="1944" spans="1:17" x14ac:dyDescent="0.25">
      <c r="A1944" t="s">
        <v>3336</v>
      </c>
      <c r="B1944" t="s">
        <v>3337</v>
      </c>
      <c r="C1944" s="1">
        <v>41275</v>
      </c>
      <c r="D1944" s="1">
        <v>41639</v>
      </c>
      <c r="E1944" t="s">
        <v>3338</v>
      </c>
      <c r="G1944" t="s">
        <v>28</v>
      </c>
      <c r="H1944" t="s">
        <v>29</v>
      </c>
      <c r="I1944" t="str">
        <f>"60603"</f>
        <v>60603</v>
      </c>
      <c r="J1944" t="s">
        <v>22</v>
      </c>
      <c r="K1944" t="s">
        <v>23</v>
      </c>
      <c r="L1944" s="2">
        <v>1745692</v>
      </c>
      <c r="M1944" s="2">
        <v>224840</v>
      </c>
      <c r="N1944" s="2">
        <v>0</v>
      </c>
      <c r="O1944" s="2">
        <v>92132</v>
      </c>
      <c r="P1944" t="s">
        <v>24</v>
      </c>
      <c r="Q1944" t="s">
        <v>24</v>
      </c>
    </row>
    <row r="1945" spans="1:17" x14ac:dyDescent="0.25">
      <c r="A1945" t="s">
        <v>2340</v>
      </c>
      <c r="B1945" t="s">
        <v>2341</v>
      </c>
      <c r="C1945" s="1">
        <v>41275</v>
      </c>
      <c r="D1945" s="1">
        <v>41639</v>
      </c>
      <c r="E1945" t="s">
        <v>2342</v>
      </c>
      <c r="G1945" t="s">
        <v>28</v>
      </c>
      <c r="H1945" t="s">
        <v>29</v>
      </c>
      <c r="I1945" t="str">
        <f>"60603"</f>
        <v>60603</v>
      </c>
      <c r="J1945" t="s">
        <v>22</v>
      </c>
      <c r="K1945" t="s">
        <v>30</v>
      </c>
      <c r="L1945" s="2">
        <v>1744999</v>
      </c>
      <c r="M1945" s="2">
        <v>143791</v>
      </c>
      <c r="N1945" s="2">
        <v>0</v>
      </c>
      <c r="O1945" s="2">
        <v>98801</v>
      </c>
      <c r="P1945" t="s">
        <v>24</v>
      </c>
      <c r="Q1945" t="s">
        <v>24</v>
      </c>
    </row>
    <row r="1946" spans="1:17" x14ac:dyDescent="0.25">
      <c r="A1946" t="s">
        <v>5720</v>
      </c>
      <c r="B1946" t="s">
        <v>5721</v>
      </c>
      <c r="C1946" s="1">
        <v>41275</v>
      </c>
      <c r="D1946" s="1">
        <v>41639</v>
      </c>
      <c r="E1946" t="s">
        <v>5722</v>
      </c>
      <c r="G1946" t="s">
        <v>5723</v>
      </c>
      <c r="H1946" t="s">
        <v>78</v>
      </c>
      <c r="I1946" t="str">
        <f>"42261"</f>
        <v>42261</v>
      </c>
      <c r="J1946" t="s">
        <v>22</v>
      </c>
      <c r="K1946" t="s">
        <v>30</v>
      </c>
      <c r="L1946" s="2">
        <v>1744114</v>
      </c>
      <c r="M1946" s="2">
        <v>228457</v>
      </c>
      <c r="N1946" s="2">
        <v>0</v>
      </c>
      <c r="O1946" s="2">
        <v>104192</v>
      </c>
      <c r="P1946" t="s">
        <v>24</v>
      </c>
      <c r="Q1946" t="s">
        <v>24</v>
      </c>
    </row>
    <row r="1947" spans="1:17" x14ac:dyDescent="0.25">
      <c r="A1947" t="s">
        <v>3181</v>
      </c>
      <c r="B1947" t="s">
        <v>3182</v>
      </c>
      <c r="C1947" s="1">
        <v>41275</v>
      </c>
      <c r="D1947" s="1">
        <v>41639</v>
      </c>
      <c r="E1947" t="s">
        <v>3183</v>
      </c>
      <c r="G1947" t="s">
        <v>1437</v>
      </c>
      <c r="H1947" t="s">
        <v>29</v>
      </c>
      <c r="I1947" t="str">
        <f>"60076"</f>
        <v>60076</v>
      </c>
      <c r="J1947" t="s">
        <v>22</v>
      </c>
      <c r="K1947" t="s">
        <v>23</v>
      </c>
      <c r="L1947" s="2">
        <v>1742808</v>
      </c>
      <c r="M1947" s="2">
        <v>55526</v>
      </c>
      <c r="N1947" s="2">
        <v>0</v>
      </c>
      <c r="O1947" s="2">
        <v>106381</v>
      </c>
      <c r="P1947" t="s">
        <v>24</v>
      </c>
      <c r="Q1947" t="s">
        <v>24</v>
      </c>
    </row>
    <row r="1948" spans="1:17" x14ac:dyDescent="0.25">
      <c r="A1948" t="s">
        <v>413</v>
      </c>
      <c r="B1948" t="s">
        <v>414</v>
      </c>
      <c r="C1948" s="1">
        <v>41275</v>
      </c>
      <c r="D1948" s="1">
        <v>41639</v>
      </c>
      <c r="E1948" t="s">
        <v>415</v>
      </c>
      <c r="G1948" t="s">
        <v>416</v>
      </c>
      <c r="H1948" t="s">
        <v>29</v>
      </c>
      <c r="I1948" t="str">
        <f>"60074"</f>
        <v>60074</v>
      </c>
      <c r="J1948" t="s">
        <v>22</v>
      </c>
      <c r="K1948" t="s">
        <v>23</v>
      </c>
      <c r="L1948" s="2">
        <v>1742517</v>
      </c>
      <c r="M1948" s="2">
        <v>593141</v>
      </c>
      <c r="N1948" s="2">
        <v>0</v>
      </c>
      <c r="O1948" s="2">
        <v>86615</v>
      </c>
      <c r="P1948" t="s">
        <v>24</v>
      </c>
      <c r="Q1948" t="s">
        <v>24</v>
      </c>
    </row>
    <row r="1949" spans="1:17" x14ac:dyDescent="0.25">
      <c r="A1949" t="s">
        <v>7710</v>
      </c>
      <c r="B1949" t="s">
        <v>7711</v>
      </c>
      <c r="C1949" s="1">
        <v>41456</v>
      </c>
      <c r="D1949" s="1">
        <v>41820</v>
      </c>
      <c r="E1949" t="s">
        <v>1535</v>
      </c>
      <c r="G1949" t="s">
        <v>41</v>
      </c>
      <c r="H1949" t="s">
        <v>42</v>
      </c>
      <c r="I1949" t="str">
        <f>"53201"</f>
        <v>53201</v>
      </c>
      <c r="J1949" t="s">
        <v>22</v>
      </c>
      <c r="K1949" t="s">
        <v>23</v>
      </c>
      <c r="L1949" s="2">
        <v>1741100</v>
      </c>
      <c r="M1949" s="2">
        <v>1550754</v>
      </c>
      <c r="N1949" s="2">
        <v>0</v>
      </c>
      <c r="O1949" s="2">
        <v>106915</v>
      </c>
      <c r="P1949" t="s">
        <v>24</v>
      </c>
      <c r="Q1949" t="s">
        <v>24</v>
      </c>
    </row>
    <row r="1950" spans="1:17" x14ac:dyDescent="0.25">
      <c r="A1950" t="s">
        <v>5378</v>
      </c>
      <c r="B1950" t="s">
        <v>5379</v>
      </c>
      <c r="C1950" s="1">
        <v>40909</v>
      </c>
      <c r="D1950" s="1">
        <v>41274</v>
      </c>
      <c r="E1950" t="s">
        <v>50</v>
      </c>
      <c r="G1950" t="s">
        <v>28</v>
      </c>
      <c r="H1950" t="s">
        <v>29</v>
      </c>
      <c r="I1950" t="str">
        <f>"60603"</f>
        <v>60603</v>
      </c>
      <c r="J1950" t="s">
        <v>22</v>
      </c>
      <c r="K1950" t="s">
        <v>23</v>
      </c>
      <c r="L1950" s="2">
        <v>1740304</v>
      </c>
      <c r="M1950" s="2">
        <v>854295</v>
      </c>
      <c r="N1950" s="2">
        <v>0</v>
      </c>
      <c r="O1950" s="2">
        <v>101186</v>
      </c>
      <c r="P1950" t="s">
        <v>24</v>
      </c>
      <c r="Q1950" t="s">
        <v>24</v>
      </c>
    </row>
    <row r="1951" spans="1:17" x14ac:dyDescent="0.25">
      <c r="A1951" t="s">
        <v>806</v>
      </c>
      <c r="B1951" t="s">
        <v>807</v>
      </c>
      <c r="C1951" s="1">
        <v>41275</v>
      </c>
      <c r="D1951" s="1">
        <v>41639</v>
      </c>
      <c r="E1951" t="s">
        <v>104</v>
      </c>
      <c r="G1951" t="s">
        <v>28</v>
      </c>
      <c r="H1951" t="s">
        <v>29</v>
      </c>
      <c r="I1951" t="str">
        <f>"60680"</f>
        <v>60680</v>
      </c>
      <c r="J1951" t="s">
        <v>22</v>
      </c>
      <c r="K1951" t="s">
        <v>30</v>
      </c>
      <c r="L1951" s="2">
        <v>1739499</v>
      </c>
      <c r="M1951" s="2">
        <v>655615</v>
      </c>
      <c r="N1951" s="2">
        <v>0</v>
      </c>
      <c r="O1951" s="2">
        <v>81523</v>
      </c>
      <c r="P1951" t="s">
        <v>24</v>
      </c>
      <c r="Q1951" t="s">
        <v>24</v>
      </c>
    </row>
    <row r="1952" spans="1:17" x14ac:dyDescent="0.25">
      <c r="A1952" t="s">
        <v>4395</v>
      </c>
      <c r="B1952" t="s">
        <v>4396</v>
      </c>
      <c r="C1952" s="1">
        <v>40544</v>
      </c>
      <c r="D1952" s="1">
        <v>40908</v>
      </c>
      <c r="E1952" t="s">
        <v>4397</v>
      </c>
      <c r="G1952" t="s">
        <v>1792</v>
      </c>
      <c r="H1952" t="s">
        <v>47</v>
      </c>
      <c r="I1952" t="str">
        <f>"48304"</f>
        <v>48304</v>
      </c>
      <c r="J1952" t="s">
        <v>22</v>
      </c>
      <c r="K1952" t="s">
        <v>30</v>
      </c>
      <c r="L1952" s="2">
        <v>1734323</v>
      </c>
      <c r="M1952" s="2">
        <v>262175</v>
      </c>
      <c r="N1952" s="2">
        <v>0</v>
      </c>
      <c r="O1952" s="2">
        <v>141503</v>
      </c>
      <c r="P1952" t="s">
        <v>24</v>
      </c>
      <c r="Q1952" t="s">
        <v>24</v>
      </c>
    </row>
    <row r="1953" spans="1:17" x14ac:dyDescent="0.25">
      <c r="A1953" t="s">
        <v>5295</v>
      </c>
      <c r="B1953" t="s">
        <v>5296</v>
      </c>
      <c r="C1953" s="1">
        <v>41275</v>
      </c>
      <c r="D1953" s="1">
        <v>41639</v>
      </c>
      <c r="E1953" t="s">
        <v>5297</v>
      </c>
      <c r="F1953" t="s">
        <v>5298</v>
      </c>
      <c r="G1953" t="s">
        <v>160</v>
      </c>
      <c r="H1953" t="s">
        <v>78</v>
      </c>
      <c r="I1953" t="str">
        <f>"40504"</f>
        <v>40504</v>
      </c>
      <c r="J1953" t="s">
        <v>22</v>
      </c>
      <c r="K1953" t="s">
        <v>30</v>
      </c>
      <c r="L1953" s="2">
        <v>1733013</v>
      </c>
      <c r="M1953" s="2">
        <v>149701</v>
      </c>
      <c r="N1953" s="2">
        <v>85000</v>
      </c>
      <c r="O1953" s="2">
        <v>121156</v>
      </c>
      <c r="P1953" t="s">
        <v>24</v>
      </c>
      <c r="Q1953" t="s">
        <v>24</v>
      </c>
    </row>
    <row r="1954" spans="1:17" x14ac:dyDescent="0.25">
      <c r="A1954" t="s">
        <v>3283</v>
      </c>
      <c r="B1954" t="s">
        <v>3284</v>
      </c>
      <c r="C1954" s="1">
        <v>41091</v>
      </c>
      <c r="D1954" s="1">
        <v>41455</v>
      </c>
      <c r="E1954" t="s">
        <v>2256</v>
      </c>
      <c r="G1954" t="s">
        <v>337</v>
      </c>
      <c r="H1954" t="s">
        <v>62</v>
      </c>
      <c r="I1954" t="str">
        <f>"44122"</f>
        <v>44122</v>
      </c>
      <c r="J1954" t="s">
        <v>63</v>
      </c>
      <c r="K1954" t="s">
        <v>79</v>
      </c>
      <c r="L1954" s="2">
        <v>1730386</v>
      </c>
      <c r="M1954" s="2">
        <v>1643509</v>
      </c>
      <c r="N1954" s="2">
        <v>1967000</v>
      </c>
      <c r="O1954" s="2">
        <v>85923</v>
      </c>
      <c r="P1954" s="2">
        <v>34723</v>
      </c>
      <c r="Q1954" s="2">
        <v>0</v>
      </c>
    </row>
    <row r="1955" spans="1:17" x14ac:dyDescent="0.25">
      <c r="A1955" t="s">
        <v>5205</v>
      </c>
      <c r="B1955" t="s">
        <v>5206</v>
      </c>
      <c r="C1955" s="1">
        <v>41275</v>
      </c>
      <c r="D1955" s="1">
        <v>41639</v>
      </c>
      <c r="E1955" t="s">
        <v>5207</v>
      </c>
      <c r="G1955" t="s">
        <v>401</v>
      </c>
      <c r="H1955" t="s">
        <v>47</v>
      </c>
      <c r="I1955" t="str">
        <f>"48640"</f>
        <v>48640</v>
      </c>
      <c r="J1955" t="s">
        <v>22</v>
      </c>
      <c r="K1955" t="s">
        <v>30</v>
      </c>
      <c r="L1955" s="2">
        <v>1729680</v>
      </c>
      <c r="M1955" s="2">
        <v>518572</v>
      </c>
      <c r="N1955" s="2">
        <v>0</v>
      </c>
      <c r="O1955" s="2">
        <v>84610</v>
      </c>
      <c r="P1955" t="s">
        <v>24</v>
      </c>
      <c r="Q1955" t="s">
        <v>24</v>
      </c>
    </row>
    <row r="1956" spans="1:17" x14ac:dyDescent="0.25">
      <c r="A1956" t="s">
        <v>3441</v>
      </c>
      <c r="B1956" t="s">
        <v>3442</v>
      </c>
      <c r="C1956" s="1">
        <v>41579</v>
      </c>
      <c r="D1956" s="1">
        <v>41943</v>
      </c>
      <c r="E1956" t="s">
        <v>142</v>
      </c>
      <c r="G1956" t="s">
        <v>143</v>
      </c>
      <c r="H1956" t="s">
        <v>47</v>
      </c>
      <c r="I1956" t="str">
        <f>"48275"</f>
        <v>48275</v>
      </c>
      <c r="J1956" t="s">
        <v>22</v>
      </c>
      <c r="K1956" t="s">
        <v>30</v>
      </c>
      <c r="L1956" s="2">
        <v>1727702</v>
      </c>
      <c r="M1956" s="2">
        <v>461550</v>
      </c>
      <c r="N1956" s="2">
        <v>0</v>
      </c>
      <c r="O1956" s="2">
        <v>122095</v>
      </c>
      <c r="P1956" t="s">
        <v>24</v>
      </c>
      <c r="Q1956" t="s">
        <v>24</v>
      </c>
    </row>
    <row r="1957" spans="1:17" x14ac:dyDescent="0.25">
      <c r="A1957" t="s">
        <v>7224</v>
      </c>
      <c r="B1957" t="s">
        <v>7225</v>
      </c>
      <c r="C1957" s="1">
        <v>41275</v>
      </c>
      <c r="D1957" s="1">
        <v>41639</v>
      </c>
      <c r="E1957" t="s">
        <v>7226</v>
      </c>
      <c r="G1957" t="s">
        <v>873</v>
      </c>
      <c r="H1957" t="s">
        <v>29</v>
      </c>
      <c r="I1957" t="str">
        <f>"60525"</f>
        <v>60525</v>
      </c>
      <c r="J1957" t="s">
        <v>63</v>
      </c>
      <c r="K1957" t="s">
        <v>23</v>
      </c>
      <c r="L1957" s="2">
        <v>1726969</v>
      </c>
      <c r="M1957" s="2">
        <v>1538214</v>
      </c>
      <c r="N1957" s="2">
        <v>5468</v>
      </c>
      <c r="O1957" s="2">
        <v>1044019</v>
      </c>
      <c r="P1957" s="2">
        <v>4130</v>
      </c>
      <c r="Q1957" s="2">
        <v>4147</v>
      </c>
    </row>
    <row r="1958" spans="1:17" x14ac:dyDescent="0.25">
      <c r="A1958" t="s">
        <v>6977</v>
      </c>
      <c r="B1958" t="s">
        <v>6978</v>
      </c>
      <c r="C1958" s="1">
        <v>40909</v>
      </c>
      <c r="D1958" s="1">
        <v>41274</v>
      </c>
      <c r="E1958" t="s">
        <v>142</v>
      </c>
      <c r="G1958" t="s">
        <v>143</v>
      </c>
      <c r="H1958" t="s">
        <v>47</v>
      </c>
      <c r="I1958" t="str">
        <f>"48275"</f>
        <v>48275</v>
      </c>
      <c r="J1958" t="s">
        <v>22</v>
      </c>
      <c r="K1958" t="s">
        <v>30</v>
      </c>
      <c r="L1958" s="2">
        <v>1725734</v>
      </c>
      <c r="M1958" s="2">
        <v>1178694</v>
      </c>
      <c r="N1958" s="2">
        <v>0</v>
      </c>
      <c r="O1958" s="2">
        <v>122782</v>
      </c>
      <c r="P1958" t="s">
        <v>24</v>
      </c>
      <c r="Q1958" t="s">
        <v>24</v>
      </c>
    </row>
    <row r="1959" spans="1:17" x14ac:dyDescent="0.25">
      <c r="A1959" t="s">
        <v>2687</v>
      </c>
      <c r="B1959" t="s">
        <v>2688</v>
      </c>
      <c r="C1959" s="1">
        <v>41275</v>
      </c>
      <c r="D1959" s="1">
        <v>41639</v>
      </c>
      <c r="E1959" t="s">
        <v>2689</v>
      </c>
      <c r="G1959" t="s">
        <v>1809</v>
      </c>
      <c r="H1959" t="s">
        <v>29</v>
      </c>
      <c r="I1959" t="str">
        <f>"60045"</f>
        <v>60045</v>
      </c>
      <c r="J1959" t="s">
        <v>22</v>
      </c>
      <c r="K1959" t="s">
        <v>23</v>
      </c>
      <c r="L1959" s="2">
        <v>1724211</v>
      </c>
      <c r="M1959" s="2">
        <v>105547</v>
      </c>
      <c r="N1959" s="2">
        <v>0</v>
      </c>
      <c r="O1959" s="2">
        <v>104325</v>
      </c>
      <c r="P1959" t="s">
        <v>24</v>
      </c>
      <c r="Q1959" t="s">
        <v>24</v>
      </c>
    </row>
    <row r="1960" spans="1:17" x14ac:dyDescent="0.25">
      <c r="A1960" t="s">
        <v>5484</v>
      </c>
      <c r="B1960" t="s">
        <v>5485</v>
      </c>
      <c r="C1960" s="1">
        <v>41275</v>
      </c>
      <c r="D1960" s="1">
        <v>41639</v>
      </c>
      <c r="E1960" t="s">
        <v>5486</v>
      </c>
      <c r="G1960" t="s">
        <v>5487</v>
      </c>
      <c r="H1960" t="s">
        <v>62</v>
      </c>
      <c r="I1960" t="str">
        <f>"45011"</f>
        <v>45011</v>
      </c>
      <c r="J1960" t="s">
        <v>22</v>
      </c>
      <c r="K1960" t="s">
        <v>30</v>
      </c>
      <c r="L1960" s="2">
        <v>1722253</v>
      </c>
      <c r="M1960" s="2">
        <v>1634866</v>
      </c>
      <c r="N1960" s="2">
        <v>0</v>
      </c>
      <c r="O1960" s="2">
        <v>99502</v>
      </c>
      <c r="P1960" t="s">
        <v>24</v>
      </c>
      <c r="Q1960" t="s">
        <v>24</v>
      </c>
    </row>
    <row r="1961" spans="1:17" x14ac:dyDescent="0.25">
      <c r="A1961" t="s">
        <v>3197</v>
      </c>
      <c r="B1961" t="s">
        <v>3198</v>
      </c>
      <c r="C1961" s="1">
        <v>41275</v>
      </c>
      <c r="D1961" s="1">
        <v>41639</v>
      </c>
      <c r="E1961" t="s">
        <v>3199</v>
      </c>
      <c r="G1961" t="s">
        <v>28</v>
      </c>
      <c r="H1961" t="s">
        <v>29</v>
      </c>
      <c r="I1961" t="str">
        <f>"60603"</f>
        <v>60603</v>
      </c>
      <c r="J1961" t="s">
        <v>22</v>
      </c>
      <c r="K1961" t="s">
        <v>30</v>
      </c>
      <c r="L1961" s="2">
        <v>1719087</v>
      </c>
      <c r="M1961" s="2">
        <v>1308452</v>
      </c>
      <c r="N1961" s="2">
        <v>0</v>
      </c>
      <c r="O1961" s="2">
        <v>215464</v>
      </c>
      <c r="P1961" t="s">
        <v>24</v>
      </c>
      <c r="Q1961" t="s">
        <v>24</v>
      </c>
    </row>
    <row r="1962" spans="1:17" x14ac:dyDescent="0.25">
      <c r="A1962" t="s">
        <v>4922</v>
      </c>
      <c r="B1962" t="s">
        <v>4923</v>
      </c>
      <c r="C1962" s="1">
        <v>41244</v>
      </c>
      <c r="D1962" s="1">
        <v>41608</v>
      </c>
      <c r="E1962" t="s">
        <v>1662</v>
      </c>
      <c r="G1962" t="s">
        <v>337</v>
      </c>
      <c r="H1962" t="s">
        <v>62</v>
      </c>
      <c r="I1962" t="str">
        <f>"44130"</f>
        <v>44130</v>
      </c>
      <c r="J1962" t="s">
        <v>63</v>
      </c>
      <c r="K1962" t="s">
        <v>23</v>
      </c>
      <c r="L1962" s="2">
        <v>1718742</v>
      </c>
      <c r="M1962" s="2">
        <v>29379</v>
      </c>
      <c r="N1962" s="2">
        <v>16080</v>
      </c>
      <c r="O1962" t="s">
        <v>24</v>
      </c>
      <c r="P1962" t="s">
        <v>24</v>
      </c>
      <c r="Q1962" t="s">
        <v>24</v>
      </c>
    </row>
    <row r="1963" spans="1:17" x14ac:dyDescent="0.25">
      <c r="A1963" t="s">
        <v>1911</v>
      </c>
      <c r="B1963" t="s">
        <v>1912</v>
      </c>
      <c r="C1963" s="1">
        <v>41275</v>
      </c>
      <c r="D1963" s="1">
        <v>41639</v>
      </c>
      <c r="E1963" t="s">
        <v>1913</v>
      </c>
      <c r="G1963" t="s">
        <v>28</v>
      </c>
      <c r="H1963" t="s">
        <v>29</v>
      </c>
      <c r="I1963" t="str">
        <f>"60610"</f>
        <v>60610</v>
      </c>
      <c r="J1963" t="s">
        <v>22</v>
      </c>
      <c r="K1963" t="s">
        <v>30</v>
      </c>
      <c r="L1963" s="2">
        <v>1718728</v>
      </c>
      <c r="M1963" s="2">
        <v>2054857</v>
      </c>
      <c r="N1963" s="2">
        <v>0</v>
      </c>
      <c r="O1963" s="2">
        <v>305379</v>
      </c>
      <c r="P1963" t="s">
        <v>24</v>
      </c>
      <c r="Q1963" t="s">
        <v>24</v>
      </c>
    </row>
    <row r="1964" spans="1:17" x14ac:dyDescent="0.25">
      <c r="A1964" t="s">
        <v>3362</v>
      </c>
      <c r="B1964" t="s">
        <v>3363</v>
      </c>
      <c r="E1964" t="s">
        <v>3364</v>
      </c>
      <c r="G1964" t="s">
        <v>3365</v>
      </c>
      <c r="H1964" t="s">
        <v>21</v>
      </c>
      <c r="I1964" t="str">
        <f>"46142"</f>
        <v>46142</v>
      </c>
      <c r="J1964" t="s">
        <v>22</v>
      </c>
      <c r="K1964" t="s">
        <v>30</v>
      </c>
      <c r="L1964" s="2">
        <v>1717849</v>
      </c>
      <c r="M1964" s="2">
        <v>1080677</v>
      </c>
      <c r="N1964" s="2">
        <v>0</v>
      </c>
      <c r="O1964" t="s">
        <v>24</v>
      </c>
      <c r="P1964" t="s">
        <v>24</v>
      </c>
      <c r="Q1964" t="s">
        <v>24</v>
      </c>
    </row>
    <row r="1965" spans="1:17" x14ac:dyDescent="0.25">
      <c r="A1965" t="s">
        <v>5696</v>
      </c>
      <c r="B1965" t="s">
        <v>5697</v>
      </c>
      <c r="C1965" s="1">
        <v>41275</v>
      </c>
      <c r="D1965" s="1">
        <v>41639</v>
      </c>
      <c r="E1965" t="s">
        <v>5698</v>
      </c>
      <c r="G1965" t="s">
        <v>2929</v>
      </c>
      <c r="H1965" t="s">
        <v>29</v>
      </c>
      <c r="I1965" t="str">
        <f>"60098"</f>
        <v>60098</v>
      </c>
      <c r="J1965" t="s">
        <v>22</v>
      </c>
      <c r="K1965" t="s">
        <v>30</v>
      </c>
      <c r="L1965" s="2">
        <v>1717314</v>
      </c>
      <c r="M1965" s="2">
        <v>173299</v>
      </c>
      <c r="N1965" s="2">
        <v>0</v>
      </c>
      <c r="O1965" s="2">
        <v>106454</v>
      </c>
      <c r="P1965" t="s">
        <v>24</v>
      </c>
      <c r="Q1965" t="s">
        <v>24</v>
      </c>
    </row>
    <row r="1966" spans="1:17" x14ac:dyDescent="0.25">
      <c r="A1966" t="s">
        <v>5380</v>
      </c>
      <c r="B1966" t="s">
        <v>5381</v>
      </c>
      <c r="C1966" s="1">
        <v>40909</v>
      </c>
      <c r="D1966" s="1">
        <v>41274</v>
      </c>
      <c r="E1966" t="s">
        <v>1708</v>
      </c>
      <c r="G1966" t="s">
        <v>28</v>
      </c>
      <c r="H1966" t="s">
        <v>29</v>
      </c>
      <c r="I1966" t="str">
        <f>"60606"</f>
        <v>60606</v>
      </c>
      <c r="J1966" t="s">
        <v>22</v>
      </c>
      <c r="K1966" t="s">
        <v>91</v>
      </c>
      <c r="L1966" s="2">
        <v>1717171</v>
      </c>
      <c r="M1966" s="2">
        <v>217626</v>
      </c>
      <c r="N1966" s="2">
        <v>13282</v>
      </c>
      <c r="O1966" s="2">
        <v>261812</v>
      </c>
      <c r="P1966" t="s">
        <v>24</v>
      </c>
      <c r="Q1966" t="s">
        <v>24</v>
      </c>
    </row>
    <row r="1967" spans="1:17" x14ac:dyDescent="0.25">
      <c r="A1967" t="s">
        <v>7563</v>
      </c>
      <c r="B1967" t="s">
        <v>7564</v>
      </c>
      <c r="C1967" s="1">
        <v>41275</v>
      </c>
      <c r="D1967" s="1">
        <v>41639</v>
      </c>
      <c r="E1967" t="s">
        <v>7565</v>
      </c>
      <c r="G1967" t="s">
        <v>307</v>
      </c>
      <c r="H1967" t="s">
        <v>29</v>
      </c>
      <c r="I1967" t="str">
        <f>"60093"</f>
        <v>60093</v>
      </c>
      <c r="J1967" t="s">
        <v>22</v>
      </c>
      <c r="K1967" t="s">
        <v>30</v>
      </c>
      <c r="L1967" s="2">
        <v>1715972</v>
      </c>
      <c r="M1967" s="2">
        <v>1294453</v>
      </c>
      <c r="N1967" s="2">
        <v>0</v>
      </c>
      <c r="O1967" s="2">
        <v>578133</v>
      </c>
      <c r="P1967" t="s">
        <v>24</v>
      </c>
      <c r="Q1967" t="s">
        <v>24</v>
      </c>
    </row>
    <row r="1968" spans="1:17" x14ac:dyDescent="0.25">
      <c r="A1968" t="s">
        <v>6641</v>
      </c>
      <c r="B1968" t="s">
        <v>6642</v>
      </c>
      <c r="C1968" s="1">
        <v>41339</v>
      </c>
      <c r="D1968" s="1">
        <v>41639</v>
      </c>
      <c r="E1968" t="s">
        <v>6643</v>
      </c>
      <c r="G1968" t="s">
        <v>20</v>
      </c>
      <c r="H1968" t="s">
        <v>21</v>
      </c>
      <c r="I1968" t="str">
        <f>"46204"</f>
        <v>46204</v>
      </c>
      <c r="J1968" t="s">
        <v>63</v>
      </c>
      <c r="K1968" t="s">
        <v>79</v>
      </c>
      <c r="L1968" s="2">
        <v>1713880</v>
      </c>
      <c r="M1968" s="2">
        <v>1938379</v>
      </c>
      <c r="N1968" s="2">
        <v>144144</v>
      </c>
      <c r="O1968" s="2">
        <v>338472</v>
      </c>
      <c r="P1968" s="2">
        <v>740</v>
      </c>
      <c r="Q1968" s="2">
        <v>0</v>
      </c>
    </row>
    <row r="1969" spans="1:17" x14ac:dyDescent="0.25">
      <c r="A1969" t="s">
        <v>5710</v>
      </c>
      <c r="B1969" t="s">
        <v>5711</v>
      </c>
      <c r="C1969" s="1">
        <v>41275</v>
      </c>
      <c r="D1969" s="1">
        <v>41639</v>
      </c>
      <c r="E1969" t="s">
        <v>5712</v>
      </c>
      <c r="G1969" t="s">
        <v>751</v>
      </c>
      <c r="H1969" t="s">
        <v>62</v>
      </c>
      <c r="I1969" t="str">
        <f>"44144"</f>
        <v>44144</v>
      </c>
      <c r="J1969" t="s">
        <v>22</v>
      </c>
      <c r="K1969" t="s">
        <v>79</v>
      </c>
      <c r="L1969" s="2">
        <v>1713448</v>
      </c>
      <c r="M1969" s="2">
        <v>93995</v>
      </c>
      <c r="N1969" s="2">
        <v>0</v>
      </c>
      <c r="O1969" s="2">
        <v>89363</v>
      </c>
      <c r="P1969" t="s">
        <v>24</v>
      </c>
      <c r="Q1969" t="s">
        <v>24</v>
      </c>
    </row>
    <row r="1970" spans="1:17" x14ac:dyDescent="0.25">
      <c r="A1970" t="s">
        <v>930</v>
      </c>
      <c r="B1970" t="s">
        <v>931</v>
      </c>
      <c r="C1970" s="1">
        <v>40909</v>
      </c>
      <c r="D1970" s="1">
        <v>41274</v>
      </c>
      <c r="E1970" t="s">
        <v>932</v>
      </c>
      <c r="G1970" t="s">
        <v>854</v>
      </c>
      <c r="H1970" t="s">
        <v>29</v>
      </c>
      <c r="I1970" t="str">
        <f>"60025"</f>
        <v>60025</v>
      </c>
      <c r="J1970" t="s">
        <v>22</v>
      </c>
      <c r="K1970" t="s">
        <v>23</v>
      </c>
      <c r="L1970" s="2">
        <v>1708720</v>
      </c>
      <c r="M1970" s="2">
        <v>335822</v>
      </c>
      <c r="N1970" s="2">
        <v>0</v>
      </c>
      <c r="O1970" s="2">
        <v>109954</v>
      </c>
      <c r="P1970" t="s">
        <v>24</v>
      </c>
      <c r="Q1970" t="s">
        <v>24</v>
      </c>
    </row>
    <row r="1971" spans="1:17" x14ac:dyDescent="0.25">
      <c r="A1971" t="s">
        <v>3411</v>
      </c>
      <c r="B1971" t="s">
        <v>3412</v>
      </c>
      <c r="C1971" s="1">
        <v>41548</v>
      </c>
      <c r="D1971" s="1">
        <v>41912</v>
      </c>
      <c r="E1971" t="s">
        <v>3413</v>
      </c>
      <c r="G1971" t="s">
        <v>167</v>
      </c>
      <c r="H1971" t="s">
        <v>62</v>
      </c>
      <c r="I1971" t="str">
        <f>"45263"</f>
        <v>45263</v>
      </c>
      <c r="J1971" t="s">
        <v>22</v>
      </c>
      <c r="K1971" t="s">
        <v>23</v>
      </c>
      <c r="L1971" s="2">
        <v>1706868</v>
      </c>
      <c r="M1971" s="2">
        <v>200078</v>
      </c>
      <c r="N1971" s="2">
        <v>0</v>
      </c>
      <c r="O1971" s="2">
        <v>109900</v>
      </c>
      <c r="P1971" t="s">
        <v>24</v>
      </c>
      <c r="Q1971" t="s">
        <v>24</v>
      </c>
    </row>
    <row r="1972" spans="1:17" x14ac:dyDescent="0.25">
      <c r="A1972" t="s">
        <v>3718</v>
      </c>
      <c r="B1972" t="s">
        <v>3719</v>
      </c>
      <c r="C1972" s="1">
        <v>41275</v>
      </c>
      <c r="D1972" s="1">
        <v>41639</v>
      </c>
      <c r="E1972" t="s">
        <v>3720</v>
      </c>
      <c r="G1972" t="s">
        <v>167</v>
      </c>
      <c r="H1972" t="s">
        <v>62</v>
      </c>
      <c r="I1972" t="str">
        <f>"45226"</f>
        <v>45226</v>
      </c>
      <c r="J1972" t="s">
        <v>22</v>
      </c>
      <c r="K1972" t="s">
        <v>23</v>
      </c>
      <c r="L1972" s="2">
        <v>1701338</v>
      </c>
      <c r="M1972" s="2">
        <v>1478842</v>
      </c>
      <c r="N1972" s="2">
        <v>0</v>
      </c>
      <c r="O1972" s="2">
        <v>99033</v>
      </c>
      <c r="P1972" t="s">
        <v>24</v>
      </c>
      <c r="Q1972" t="s">
        <v>24</v>
      </c>
    </row>
    <row r="1973" spans="1:17" x14ac:dyDescent="0.25">
      <c r="A1973" t="s">
        <v>6173</v>
      </c>
      <c r="B1973" t="s">
        <v>6174</v>
      </c>
      <c r="C1973" s="1">
        <v>41275</v>
      </c>
      <c r="D1973" s="1">
        <v>41639</v>
      </c>
      <c r="E1973" t="s">
        <v>6175</v>
      </c>
      <c r="G1973" t="s">
        <v>6176</v>
      </c>
      <c r="H1973" t="s">
        <v>47</v>
      </c>
      <c r="I1973" t="str">
        <f>"48623"</f>
        <v>48623</v>
      </c>
      <c r="J1973" t="s">
        <v>22</v>
      </c>
      <c r="K1973" t="s">
        <v>23</v>
      </c>
      <c r="L1973" s="2">
        <v>1700631</v>
      </c>
      <c r="M1973" s="2">
        <v>1001146</v>
      </c>
      <c r="N1973" s="2">
        <v>0</v>
      </c>
      <c r="O1973" s="2">
        <v>100474</v>
      </c>
      <c r="P1973" t="s">
        <v>24</v>
      </c>
      <c r="Q1973" t="s">
        <v>24</v>
      </c>
    </row>
    <row r="1974" spans="1:17" x14ac:dyDescent="0.25">
      <c r="A1974" t="s">
        <v>1440</v>
      </c>
      <c r="B1974" t="s">
        <v>4476</v>
      </c>
      <c r="C1974" s="1">
        <v>41275</v>
      </c>
      <c r="D1974" s="1">
        <v>41639</v>
      </c>
      <c r="E1974" t="s">
        <v>4477</v>
      </c>
      <c r="G1974" t="s">
        <v>3534</v>
      </c>
      <c r="H1974" t="s">
        <v>62</v>
      </c>
      <c r="I1974" t="str">
        <f>"45242"</f>
        <v>45242</v>
      </c>
      <c r="J1974" t="s">
        <v>22</v>
      </c>
      <c r="K1974" t="s">
        <v>30</v>
      </c>
      <c r="L1974" s="2">
        <v>1700132</v>
      </c>
      <c r="M1974" s="2">
        <v>40673</v>
      </c>
      <c r="N1974" s="2">
        <v>0</v>
      </c>
      <c r="O1974" s="2">
        <v>114420</v>
      </c>
      <c r="P1974" t="s">
        <v>24</v>
      </c>
      <c r="Q1974" t="s">
        <v>24</v>
      </c>
    </row>
    <row r="1975" spans="1:17" x14ac:dyDescent="0.25">
      <c r="A1975" t="s">
        <v>5689</v>
      </c>
      <c r="B1975" t="s">
        <v>5690</v>
      </c>
      <c r="C1975" s="1">
        <v>41275</v>
      </c>
      <c r="D1975" s="1">
        <v>41639</v>
      </c>
      <c r="E1975" t="s">
        <v>5691</v>
      </c>
      <c r="G1975" t="s">
        <v>2549</v>
      </c>
      <c r="H1975" t="s">
        <v>42</v>
      </c>
      <c r="I1975" t="str">
        <f>"54401"</f>
        <v>54401</v>
      </c>
      <c r="J1975" t="s">
        <v>22</v>
      </c>
      <c r="K1975" t="s">
        <v>23</v>
      </c>
      <c r="L1975" s="2">
        <v>1698063</v>
      </c>
      <c r="M1975" s="2">
        <v>18585</v>
      </c>
      <c r="N1975" s="2">
        <v>0</v>
      </c>
      <c r="O1975" s="2">
        <v>103083</v>
      </c>
      <c r="P1975" t="s">
        <v>24</v>
      </c>
      <c r="Q1975" t="s">
        <v>24</v>
      </c>
    </row>
    <row r="1976" spans="1:17" x14ac:dyDescent="0.25">
      <c r="A1976" t="s">
        <v>4668</v>
      </c>
      <c r="B1976" t="s">
        <v>4669</v>
      </c>
      <c r="C1976" s="1">
        <v>41275</v>
      </c>
      <c r="D1976" s="1">
        <v>41639</v>
      </c>
      <c r="E1976" t="s">
        <v>4670</v>
      </c>
      <c r="G1976" t="s">
        <v>776</v>
      </c>
      <c r="H1976" t="s">
        <v>62</v>
      </c>
      <c r="I1976" t="str">
        <f>"44040"</f>
        <v>44040</v>
      </c>
      <c r="J1976" t="s">
        <v>22</v>
      </c>
      <c r="K1976" t="s">
        <v>23</v>
      </c>
      <c r="L1976" s="2">
        <v>1690760</v>
      </c>
      <c r="M1976" s="2">
        <v>454539</v>
      </c>
      <c r="N1976" s="2">
        <v>0</v>
      </c>
      <c r="O1976" s="2">
        <v>568060</v>
      </c>
      <c r="P1976" t="s">
        <v>24</v>
      </c>
      <c r="Q1976" t="s">
        <v>24</v>
      </c>
    </row>
    <row r="1977" spans="1:17" x14ac:dyDescent="0.25">
      <c r="A1977" t="s">
        <v>4610</v>
      </c>
      <c r="B1977" t="s">
        <v>4611</v>
      </c>
      <c r="C1977" s="1">
        <v>41275</v>
      </c>
      <c r="D1977" s="1">
        <v>41639</v>
      </c>
      <c r="E1977" t="s">
        <v>4612</v>
      </c>
      <c r="G1977" t="s">
        <v>2824</v>
      </c>
      <c r="H1977" t="s">
        <v>62</v>
      </c>
      <c r="I1977" t="str">
        <f>"45069"</f>
        <v>45069</v>
      </c>
      <c r="J1977" t="s">
        <v>22</v>
      </c>
      <c r="K1977" t="s">
        <v>30</v>
      </c>
      <c r="L1977" s="2">
        <v>1690334</v>
      </c>
      <c r="M1977" s="2">
        <v>945098</v>
      </c>
      <c r="N1977" s="2">
        <v>0</v>
      </c>
      <c r="O1977" s="2">
        <v>75264</v>
      </c>
      <c r="P1977" t="s">
        <v>24</v>
      </c>
      <c r="Q1977" t="s">
        <v>24</v>
      </c>
    </row>
    <row r="1978" spans="1:17" x14ac:dyDescent="0.25">
      <c r="A1978" t="s">
        <v>971</v>
      </c>
      <c r="B1978" t="s">
        <v>972</v>
      </c>
      <c r="C1978" s="1">
        <v>40909</v>
      </c>
      <c r="D1978" s="1">
        <v>41274</v>
      </c>
      <c r="E1978" t="s">
        <v>973</v>
      </c>
      <c r="G1978" t="s">
        <v>974</v>
      </c>
      <c r="H1978" t="s">
        <v>21</v>
      </c>
      <c r="I1978" t="str">
        <f>"47808"</f>
        <v>47808</v>
      </c>
      <c r="J1978" t="s">
        <v>22</v>
      </c>
      <c r="K1978" t="s">
        <v>23</v>
      </c>
      <c r="L1978" s="2">
        <v>1689634</v>
      </c>
      <c r="M1978" s="2">
        <v>356629</v>
      </c>
      <c r="N1978" s="2">
        <v>0</v>
      </c>
      <c r="O1978" s="2">
        <v>491085</v>
      </c>
      <c r="P1978" t="s">
        <v>24</v>
      </c>
      <c r="Q1978" t="s">
        <v>24</v>
      </c>
    </row>
    <row r="1979" spans="1:17" x14ac:dyDescent="0.25">
      <c r="A1979" t="s">
        <v>6316</v>
      </c>
      <c r="B1979" t="s">
        <v>6317</v>
      </c>
      <c r="C1979" s="1">
        <v>41548</v>
      </c>
      <c r="D1979" s="1">
        <v>41912</v>
      </c>
      <c r="E1979" t="s">
        <v>40</v>
      </c>
      <c r="G1979" t="s">
        <v>41</v>
      </c>
      <c r="H1979" t="s">
        <v>42</v>
      </c>
      <c r="I1979" t="str">
        <f>"53201"</f>
        <v>53201</v>
      </c>
      <c r="J1979" t="s">
        <v>22</v>
      </c>
      <c r="K1979" t="s">
        <v>23</v>
      </c>
      <c r="L1979" s="2">
        <v>1687992</v>
      </c>
      <c r="M1979" s="2">
        <v>1039324</v>
      </c>
      <c r="N1979" s="2">
        <v>0</v>
      </c>
      <c r="O1979" s="2">
        <v>87073</v>
      </c>
      <c r="P1979" t="s">
        <v>24</v>
      </c>
      <c r="Q1979" t="s">
        <v>24</v>
      </c>
    </row>
    <row r="1980" spans="1:17" x14ac:dyDescent="0.25">
      <c r="A1980" t="s">
        <v>6512</v>
      </c>
      <c r="B1980" t="s">
        <v>6513</v>
      </c>
      <c r="C1980" s="1">
        <v>41275</v>
      </c>
      <c r="D1980" s="1">
        <v>41639</v>
      </c>
      <c r="E1980" t="s">
        <v>6514</v>
      </c>
      <c r="G1980" t="s">
        <v>160</v>
      </c>
      <c r="H1980" t="s">
        <v>78</v>
      </c>
      <c r="I1980" t="str">
        <f>"40504"</f>
        <v>40504</v>
      </c>
      <c r="J1980" t="s">
        <v>22</v>
      </c>
      <c r="K1980" t="s">
        <v>23</v>
      </c>
      <c r="L1980" s="2">
        <v>1687404</v>
      </c>
      <c r="M1980" s="2">
        <v>1582940</v>
      </c>
      <c r="N1980" s="2">
        <v>0</v>
      </c>
      <c r="O1980" s="2">
        <v>83075</v>
      </c>
      <c r="P1980" t="s">
        <v>24</v>
      </c>
      <c r="Q1980" t="s">
        <v>24</v>
      </c>
    </row>
    <row r="1981" spans="1:17" x14ac:dyDescent="0.25">
      <c r="A1981" t="s">
        <v>796</v>
      </c>
      <c r="B1981" t="s">
        <v>797</v>
      </c>
      <c r="C1981" s="1">
        <v>41275</v>
      </c>
      <c r="D1981" s="1">
        <v>41639</v>
      </c>
      <c r="E1981" t="s">
        <v>798</v>
      </c>
      <c r="G1981" t="s">
        <v>353</v>
      </c>
      <c r="H1981" t="s">
        <v>21</v>
      </c>
      <c r="I1981" t="str">
        <f>"47202"</f>
        <v>47202</v>
      </c>
      <c r="J1981" t="s">
        <v>22</v>
      </c>
      <c r="K1981" t="s">
        <v>30</v>
      </c>
      <c r="L1981" s="2">
        <v>1687140</v>
      </c>
      <c r="M1981" s="2">
        <v>64870</v>
      </c>
      <c r="N1981" s="2">
        <v>0</v>
      </c>
      <c r="O1981" s="2">
        <v>96301</v>
      </c>
      <c r="P1981" t="s">
        <v>24</v>
      </c>
      <c r="Q1981" t="s">
        <v>24</v>
      </c>
    </row>
    <row r="1982" spans="1:17" x14ac:dyDescent="0.25">
      <c r="A1982" t="s">
        <v>3761</v>
      </c>
      <c r="B1982" t="s">
        <v>3762</v>
      </c>
      <c r="C1982" s="1">
        <v>41275</v>
      </c>
      <c r="D1982" s="1">
        <v>41639</v>
      </c>
      <c r="E1982" t="s">
        <v>352</v>
      </c>
      <c r="G1982" t="s">
        <v>353</v>
      </c>
      <c r="H1982" t="s">
        <v>62</v>
      </c>
      <c r="I1982" t="str">
        <f>"43205"</f>
        <v>43205</v>
      </c>
      <c r="J1982" t="s">
        <v>63</v>
      </c>
      <c r="K1982" t="s">
        <v>79</v>
      </c>
      <c r="L1982" s="2">
        <v>1686729</v>
      </c>
      <c r="M1982" s="2">
        <v>89867</v>
      </c>
      <c r="N1982" s="2">
        <v>400000</v>
      </c>
      <c r="O1982" s="2">
        <v>409827</v>
      </c>
      <c r="P1982" s="2">
        <v>9827</v>
      </c>
      <c r="Q1982" s="2">
        <v>0</v>
      </c>
    </row>
    <row r="1983" spans="1:17" x14ac:dyDescent="0.25">
      <c r="A1983" t="s">
        <v>4089</v>
      </c>
      <c r="B1983" t="s">
        <v>4090</v>
      </c>
      <c r="C1983" s="1">
        <v>41365</v>
      </c>
      <c r="D1983" s="1">
        <v>41729</v>
      </c>
      <c r="E1983" t="s">
        <v>4091</v>
      </c>
      <c r="G1983" t="s">
        <v>4092</v>
      </c>
      <c r="H1983" t="s">
        <v>29</v>
      </c>
      <c r="I1983" t="str">
        <f>"62471"</f>
        <v>62471</v>
      </c>
      <c r="J1983" t="s">
        <v>63</v>
      </c>
      <c r="K1983" t="s">
        <v>23</v>
      </c>
      <c r="L1983" s="2">
        <v>1682798</v>
      </c>
      <c r="M1983" s="2">
        <v>64898</v>
      </c>
      <c r="N1983" s="2">
        <v>0</v>
      </c>
      <c r="O1983" s="2">
        <v>68266</v>
      </c>
      <c r="P1983" s="2">
        <v>16686</v>
      </c>
      <c r="Q1983" s="2">
        <v>0</v>
      </c>
    </row>
    <row r="1984" spans="1:17" x14ac:dyDescent="0.25">
      <c r="A1984" t="s">
        <v>3515</v>
      </c>
      <c r="B1984" t="s">
        <v>3516</v>
      </c>
      <c r="C1984" s="1">
        <v>41275</v>
      </c>
      <c r="D1984" s="1">
        <v>41639</v>
      </c>
      <c r="E1984" t="s">
        <v>3517</v>
      </c>
      <c r="G1984" t="s">
        <v>1010</v>
      </c>
      <c r="H1984" t="s">
        <v>47</v>
      </c>
      <c r="I1984" t="str">
        <f>"49686"</f>
        <v>49686</v>
      </c>
      <c r="J1984" t="s">
        <v>22</v>
      </c>
      <c r="K1984" t="s">
        <v>30</v>
      </c>
      <c r="L1984" s="2">
        <v>1679844</v>
      </c>
      <c r="M1984" s="2">
        <v>454601</v>
      </c>
      <c r="N1984" s="2">
        <v>0</v>
      </c>
      <c r="O1984" s="2">
        <v>79032</v>
      </c>
      <c r="P1984" t="s">
        <v>24</v>
      </c>
      <c r="Q1984" t="s">
        <v>24</v>
      </c>
    </row>
    <row r="1985" spans="1:17" x14ac:dyDescent="0.25">
      <c r="A1985" t="s">
        <v>2745</v>
      </c>
      <c r="B1985" t="s">
        <v>2746</v>
      </c>
      <c r="C1985" s="1">
        <v>41275</v>
      </c>
      <c r="D1985" s="1">
        <v>41639</v>
      </c>
      <c r="E1985" t="s">
        <v>2747</v>
      </c>
      <c r="G1985" t="s">
        <v>2748</v>
      </c>
      <c r="H1985" t="s">
        <v>42</v>
      </c>
      <c r="I1985" t="str">
        <f>"53590"</f>
        <v>53590</v>
      </c>
      <c r="J1985" t="s">
        <v>22</v>
      </c>
      <c r="K1985" t="s">
        <v>30</v>
      </c>
      <c r="L1985" s="2">
        <v>1678354</v>
      </c>
      <c r="M1985" s="2">
        <v>1763712</v>
      </c>
      <c r="N1985" s="2">
        <v>0</v>
      </c>
      <c r="O1985" s="2">
        <v>136119</v>
      </c>
      <c r="P1985" t="s">
        <v>24</v>
      </c>
      <c r="Q1985" t="s">
        <v>24</v>
      </c>
    </row>
    <row r="1986" spans="1:17" x14ac:dyDescent="0.25">
      <c r="A1986" t="s">
        <v>296</v>
      </c>
      <c r="B1986" t="s">
        <v>297</v>
      </c>
      <c r="C1986" s="1">
        <v>41275</v>
      </c>
      <c r="D1986" s="1">
        <v>41639</v>
      </c>
      <c r="E1986" t="s">
        <v>298</v>
      </c>
      <c r="G1986" t="s">
        <v>299</v>
      </c>
      <c r="H1986" t="s">
        <v>29</v>
      </c>
      <c r="I1986" t="str">
        <f>"61008"</f>
        <v>61008</v>
      </c>
      <c r="J1986" t="s">
        <v>63</v>
      </c>
      <c r="K1986" t="s">
        <v>64</v>
      </c>
      <c r="L1986" s="2">
        <v>1677171</v>
      </c>
      <c r="M1986" s="2">
        <v>87097</v>
      </c>
      <c r="N1986" s="2">
        <v>504190</v>
      </c>
      <c r="O1986" s="2">
        <v>53180</v>
      </c>
      <c r="P1986" s="2">
        <v>20665</v>
      </c>
      <c r="Q1986" s="2">
        <v>0</v>
      </c>
    </row>
    <row r="1987" spans="1:17" x14ac:dyDescent="0.25">
      <c r="A1987" t="s">
        <v>6985</v>
      </c>
      <c r="B1987" t="s">
        <v>6986</v>
      </c>
      <c r="C1987" s="1">
        <v>41275</v>
      </c>
      <c r="D1987" s="1">
        <v>41639</v>
      </c>
      <c r="E1987" t="s">
        <v>6987</v>
      </c>
      <c r="G1987" t="s">
        <v>6988</v>
      </c>
      <c r="H1987" t="s">
        <v>21</v>
      </c>
      <c r="I1987" t="str">
        <f>"46069"</f>
        <v>46069</v>
      </c>
      <c r="J1987" t="s">
        <v>22</v>
      </c>
      <c r="K1987" t="s">
        <v>6989</v>
      </c>
      <c r="L1987" s="2">
        <v>1676451</v>
      </c>
      <c r="M1987" s="2">
        <v>906524</v>
      </c>
      <c r="N1987" s="2">
        <v>0</v>
      </c>
      <c r="O1987" s="2">
        <v>139454</v>
      </c>
      <c r="P1987" t="s">
        <v>24</v>
      </c>
      <c r="Q1987" t="s">
        <v>24</v>
      </c>
    </row>
    <row r="1988" spans="1:17" x14ac:dyDescent="0.25">
      <c r="A1988" t="s">
        <v>990</v>
      </c>
      <c r="B1988" t="s">
        <v>991</v>
      </c>
      <c r="C1988" s="1">
        <v>41275</v>
      </c>
      <c r="D1988" s="1">
        <v>41639</v>
      </c>
      <c r="E1988" t="s">
        <v>320</v>
      </c>
      <c r="G1988" t="s">
        <v>139</v>
      </c>
      <c r="H1988" t="s">
        <v>47</v>
      </c>
      <c r="I1988" t="str">
        <f>"49501"</f>
        <v>49501</v>
      </c>
      <c r="J1988" t="s">
        <v>22</v>
      </c>
      <c r="K1988" t="s">
        <v>23</v>
      </c>
      <c r="L1988" s="2">
        <v>1675852</v>
      </c>
      <c r="M1988" s="2">
        <v>1394974</v>
      </c>
      <c r="N1988" s="2">
        <v>0</v>
      </c>
      <c r="O1988" s="2">
        <v>103032</v>
      </c>
      <c r="P1988" t="s">
        <v>24</v>
      </c>
      <c r="Q1988" t="s">
        <v>24</v>
      </c>
    </row>
    <row r="1989" spans="1:17" x14ac:dyDescent="0.25">
      <c r="A1989" t="s">
        <v>5398</v>
      </c>
      <c r="B1989" t="s">
        <v>5399</v>
      </c>
      <c r="C1989" s="1">
        <v>41275</v>
      </c>
      <c r="D1989" s="1">
        <v>41639</v>
      </c>
      <c r="E1989" t="s">
        <v>50</v>
      </c>
      <c r="G1989" t="s">
        <v>28</v>
      </c>
      <c r="H1989" t="s">
        <v>29</v>
      </c>
      <c r="I1989" t="str">
        <f>"60603"</f>
        <v>60603</v>
      </c>
      <c r="J1989" t="s">
        <v>22</v>
      </c>
      <c r="K1989" t="s">
        <v>30</v>
      </c>
      <c r="L1989" s="2">
        <v>1671629</v>
      </c>
      <c r="M1989" s="2">
        <v>561904</v>
      </c>
      <c r="N1989" s="2">
        <v>0</v>
      </c>
      <c r="O1989" s="2">
        <v>88054</v>
      </c>
      <c r="P1989" t="s">
        <v>24</v>
      </c>
      <c r="Q1989" t="s">
        <v>24</v>
      </c>
    </row>
    <row r="1990" spans="1:17" x14ac:dyDescent="0.25">
      <c r="A1990" t="s">
        <v>5552</v>
      </c>
      <c r="B1990" t="s">
        <v>5553</v>
      </c>
      <c r="C1990" s="1">
        <v>41275</v>
      </c>
      <c r="D1990" s="1">
        <v>41639</v>
      </c>
      <c r="E1990" t="s">
        <v>142</v>
      </c>
      <c r="G1990" t="s">
        <v>143</v>
      </c>
      <c r="H1990" t="s">
        <v>47</v>
      </c>
      <c r="I1990" t="str">
        <f>"49275"</f>
        <v>49275</v>
      </c>
      <c r="J1990" t="s">
        <v>22</v>
      </c>
      <c r="K1990" t="s">
        <v>23</v>
      </c>
      <c r="L1990" s="2">
        <v>1668959</v>
      </c>
      <c r="M1990" s="2">
        <v>666160</v>
      </c>
      <c r="N1990" s="2">
        <v>0</v>
      </c>
      <c r="O1990" s="2">
        <v>99378</v>
      </c>
      <c r="P1990" t="s">
        <v>24</v>
      </c>
      <c r="Q1990" t="s">
        <v>24</v>
      </c>
    </row>
    <row r="1991" spans="1:17" x14ac:dyDescent="0.25">
      <c r="A1991" t="s">
        <v>7524</v>
      </c>
      <c r="B1991" t="s">
        <v>7525</v>
      </c>
      <c r="C1991" s="1">
        <v>41275</v>
      </c>
      <c r="D1991" s="1">
        <v>41639</v>
      </c>
      <c r="E1991" t="s">
        <v>7526</v>
      </c>
      <c r="G1991" t="s">
        <v>7527</v>
      </c>
      <c r="H1991" t="s">
        <v>42</v>
      </c>
      <c r="I1991" t="str">
        <f>"54631"</f>
        <v>54631</v>
      </c>
      <c r="J1991" t="s">
        <v>22</v>
      </c>
      <c r="K1991" t="s">
        <v>30</v>
      </c>
      <c r="L1991" s="2">
        <v>1668628</v>
      </c>
      <c r="M1991" s="2">
        <v>319941</v>
      </c>
      <c r="N1991" s="2">
        <v>0</v>
      </c>
      <c r="O1991" s="2">
        <v>98762</v>
      </c>
      <c r="P1991" t="s">
        <v>24</v>
      </c>
      <c r="Q1991" t="s">
        <v>24</v>
      </c>
    </row>
    <row r="1992" spans="1:17" x14ac:dyDescent="0.25">
      <c r="A1992" t="s">
        <v>7259</v>
      </c>
      <c r="B1992" t="s">
        <v>7260</v>
      </c>
      <c r="C1992" s="1">
        <v>41275</v>
      </c>
      <c r="D1992" s="1">
        <v>41639</v>
      </c>
      <c r="E1992" t="s">
        <v>50</v>
      </c>
      <c r="G1992" t="s">
        <v>28</v>
      </c>
      <c r="H1992" t="s">
        <v>29</v>
      </c>
      <c r="I1992" t="str">
        <f>"60603"</f>
        <v>60603</v>
      </c>
      <c r="J1992" t="s">
        <v>22</v>
      </c>
      <c r="K1992" t="s">
        <v>23</v>
      </c>
      <c r="L1992" s="2">
        <v>1667983</v>
      </c>
      <c r="M1992" s="2">
        <v>1052698</v>
      </c>
      <c r="N1992" s="2">
        <v>0</v>
      </c>
      <c r="O1992" s="2">
        <v>87221</v>
      </c>
      <c r="P1992" t="s">
        <v>24</v>
      </c>
      <c r="Q1992" t="s">
        <v>24</v>
      </c>
    </row>
    <row r="1993" spans="1:17" x14ac:dyDescent="0.25">
      <c r="A1993" t="s">
        <v>6011</v>
      </c>
      <c r="B1993" t="s">
        <v>6012</v>
      </c>
      <c r="C1993" s="1">
        <v>41365</v>
      </c>
      <c r="D1993" s="1">
        <v>41729</v>
      </c>
      <c r="E1993" t="s">
        <v>6013</v>
      </c>
      <c r="G1993" t="s">
        <v>741</v>
      </c>
      <c r="H1993" t="s">
        <v>42</v>
      </c>
      <c r="I1993" t="str">
        <f>"54306"</f>
        <v>54306</v>
      </c>
      <c r="J1993" t="s">
        <v>22</v>
      </c>
      <c r="K1993" t="s">
        <v>23</v>
      </c>
      <c r="L1993" s="2">
        <v>1666856</v>
      </c>
      <c r="M1993" s="2">
        <v>1090467</v>
      </c>
      <c r="N1993" s="2">
        <v>0</v>
      </c>
      <c r="O1993" s="2">
        <v>90119</v>
      </c>
      <c r="P1993" t="s">
        <v>24</v>
      </c>
      <c r="Q1993" t="s">
        <v>24</v>
      </c>
    </row>
    <row r="1994" spans="1:17" x14ac:dyDescent="0.25">
      <c r="A1994" t="s">
        <v>3808</v>
      </c>
      <c r="B1994" t="s">
        <v>3809</v>
      </c>
      <c r="C1994" s="1">
        <v>40909</v>
      </c>
      <c r="D1994" s="1">
        <v>41274</v>
      </c>
      <c r="E1994" t="s">
        <v>3810</v>
      </c>
      <c r="G1994" t="s">
        <v>28</v>
      </c>
      <c r="H1994" t="s">
        <v>29</v>
      </c>
      <c r="I1994" t="str">
        <f>"60606"</f>
        <v>60606</v>
      </c>
      <c r="J1994" t="s">
        <v>22</v>
      </c>
      <c r="K1994" t="s">
        <v>91</v>
      </c>
      <c r="L1994" s="2">
        <v>1666241</v>
      </c>
      <c r="M1994" s="2">
        <v>768758</v>
      </c>
      <c r="N1994" s="2">
        <v>0</v>
      </c>
      <c r="O1994" s="2">
        <v>65464</v>
      </c>
      <c r="P1994" t="s">
        <v>24</v>
      </c>
      <c r="Q1994" t="s">
        <v>24</v>
      </c>
    </row>
    <row r="1995" spans="1:17" x14ac:dyDescent="0.25">
      <c r="A1995" t="s">
        <v>5744</v>
      </c>
      <c r="B1995" t="s">
        <v>5745</v>
      </c>
      <c r="C1995" s="1">
        <v>41275</v>
      </c>
      <c r="D1995" s="1">
        <v>41639</v>
      </c>
      <c r="E1995" t="s">
        <v>5746</v>
      </c>
      <c r="G1995" t="s">
        <v>57</v>
      </c>
      <c r="H1995" t="s">
        <v>29</v>
      </c>
      <c r="I1995" t="str">
        <f>"60523"</f>
        <v>60523</v>
      </c>
      <c r="J1995" t="s">
        <v>22</v>
      </c>
      <c r="K1995" t="s">
        <v>23</v>
      </c>
      <c r="L1995" s="2">
        <v>1665538</v>
      </c>
      <c r="M1995" s="2">
        <v>451127</v>
      </c>
      <c r="N1995" s="2">
        <v>0</v>
      </c>
      <c r="O1995" s="2">
        <v>340986</v>
      </c>
      <c r="P1995" t="s">
        <v>24</v>
      </c>
      <c r="Q1995" t="s">
        <v>24</v>
      </c>
    </row>
    <row r="1996" spans="1:17" x14ac:dyDescent="0.25">
      <c r="A1996" t="s">
        <v>1119</v>
      </c>
      <c r="B1996" t="s">
        <v>1120</v>
      </c>
      <c r="C1996" s="1">
        <v>41548</v>
      </c>
      <c r="D1996" s="1">
        <v>41912</v>
      </c>
      <c r="E1996" t="s">
        <v>1121</v>
      </c>
      <c r="G1996" t="s">
        <v>1122</v>
      </c>
      <c r="H1996" t="s">
        <v>47</v>
      </c>
      <c r="I1996" t="str">
        <f>"48081"</f>
        <v>48081</v>
      </c>
      <c r="J1996" t="s">
        <v>22</v>
      </c>
      <c r="K1996" t="s">
        <v>23</v>
      </c>
      <c r="L1996" s="2">
        <v>1661897</v>
      </c>
      <c r="M1996" s="2">
        <v>66732</v>
      </c>
      <c r="N1996" s="2">
        <v>0</v>
      </c>
      <c r="O1996" s="2">
        <v>79833</v>
      </c>
      <c r="P1996" t="s">
        <v>24</v>
      </c>
      <c r="Q1996" t="s">
        <v>24</v>
      </c>
    </row>
    <row r="1997" spans="1:17" x14ac:dyDescent="0.25">
      <c r="A1997" t="s">
        <v>2142</v>
      </c>
      <c r="B1997" t="s">
        <v>2143</v>
      </c>
      <c r="C1997" s="1">
        <v>41275</v>
      </c>
      <c r="D1997" s="1">
        <v>41639</v>
      </c>
      <c r="E1997" t="s">
        <v>2144</v>
      </c>
      <c r="G1997" t="s">
        <v>865</v>
      </c>
      <c r="H1997" t="s">
        <v>29</v>
      </c>
      <c r="I1997" t="str">
        <f>"60035"</f>
        <v>60035</v>
      </c>
      <c r="J1997" t="s">
        <v>22</v>
      </c>
      <c r="K1997" t="s">
        <v>30</v>
      </c>
      <c r="L1997" s="2">
        <v>1659983</v>
      </c>
      <c r="M1997" s="2">
        <v>2883842</v>
      </c>
      <c r="N1997" s="2">
        <v>0</v>
      </c>
      <c r="O1997" s="2">
        <v>1797955</v>
      </c>
      <c r="P1997" t="s">
        <v>24</v>
      </c>
      <c r="Q1997" t="s">
        <v>24</v>
      </c>
    </row>
    <row r="1998" spans="1:17" x14ac:dyDescent="0.25">
      <c r="A1998" t="s">
        <v>4936</v>
      </c>
      <c r="B1998" t="s">
        <v>4937</v>
      </c>
      <c r="C1998" s="1">
        <v>41275</v>
      </c>
      <c r="D1998" s="1">
        <v>41639</v>
      </c>
      <c r="E1998" t="s">
        <v>4938</v>
      </c>
      <c r="G1998" t="s">
        <v>531</v>
      </c>
      <c r="H1998" t="s">
        <v>62</v>
      </c>
      <c r="I1998" t="str">
        <f>"44122"</f>
        <v>44122</v>
      </c>
      <c r="J1998" t="s">
        <v>22</v>
      </c>
      <c r="K1998" t="s">
        <v>30</v>
      </c>
      <c r="L1998" s="2">
        <v>1659421</v>
      </c>
      <c r="M1998" s="2">
        <v>1367468</v>
      </c>
      <c r="N1998" s="2">
        <v>0</v>
      </c>
      <c r="O1998" s="2">
        <v>86713</v>
      </c>
      <c r="P1998" t="s">
        <v>24</v>
      </c>
      <c r="Q1998" t="s">
        <v>24</v>
      </c>
    </row>
    <row r="1999" spans="1:17" x14ac:dyDescent="0.25">
      <c r="A1999" t="s">
        <v>3521</v>
      </c>
      <c r="B1999" t="s">
        <v>3522</v>
      </c>
      <c r="C1999" s="1">
        <v>41275</v>
      </c>
      <c r="D1999" s="1">
        <v>41639</v>
      </c>
      <c r="E1999" t="s">
        <v>3523</v>
      </c>
      <c r="G1999" t="s">
        <v>3524</v>
      </c>
      <c r="H1999" t="s">
        <v>42</v>
      </c>
      <c r="I1999" t="str">
        <f>"53217"</f>
        <v>53217</v>
      </c>
      <c r="J1999" t="s">
        <v>22</v>
      </c>
      <c r="K1999" t="s">
        <v>23</v>
      </c>
      <c r="L1999" s="2">
        <v>1656987</v>
      </c>
      <c r="M1999" s="2">
        <v>651472</v>
      </c>
      <c r="N1999" s="2">
        <v>0</v>
      </c>
      <c r="O1999" s="2">
        <v>101246</v>
      </c>
      <c r="P1999" t="s">
        <v>24</v>
      </c>
      <c r="Q1999" t="s">
        <v>24</v>
      </c>
    </row>
    <row r="2000" spans="1:17" x14ac:dyDescent="0.25">
      <c r="A2000" t="s">
        <v>1328</v>
      </c>
      <c r="B2000" t="s">
        <v>1329</v>
      </c>
      <c r="C2000" s="1">
        <v>40909</v>
      </c>
      <c r="D2000" s="1">
        <v>41274</v>
      </c>
      <c r="E2000" t="s">
        <v>1330</v>
      </c>
      <c r="G2000" t="s">
        <v>46</v>
      </c>
      <c r="H2000" t="s">
        <v>47</v>
      </c>
      <c r="I2000" t="str">
        <f>"49014"</f>
        <v>49014</v>
      </c>
      <c r="J2000" t="s">
        <v>22</v>
      </c>
      <c r="K2000" t="s">
        <v>23</v>
      </c>
      <c r="L2000" s="2">
        <v>1653339</v>
      </c>
      <c r="M2000" s="2">
        <v>534830</v>
      </c>
      <c r="N2000" s="2">
        <v>0</v>
      </c>
      <c r="O2000" s="2">
        <v>98655</v>
      </c>
      <c r="P2000" t="s">
        <v>24</v>
      </c>
      <c r="Q2000" t="s">
        <v>24</v>
      </c>
    </row>
    <row r="2001" spans="1:17" x14ac:dyDescent="0.25">
      <c r="A2001" t="s">
        <v>4469</v>
      </c>
      <c r="B2001" t="s">
        <v>4470</v>
      </c>
      <c r="C2001" s="1">
        <v>41275</v>
      </c>
      <c r="D2001" s="1">
        <v>41639</v>
      </c>
      <c r="E2001" t="s">
        <v>4471</v>
      </c>
      <c r="G2001" t="s">
        <v>4472</v>
      </c>
      <c r="H2001" t="s">
        <v>62</v>
      </c>
      <c r="I2001" t="str">
        <f>"45107"</f>
        <v>45107</v>
      </c>
      <c r="J2001" t="s">
        <v>22</v>
      </c>
      <c r="K2001" t="s">
        <v>23</v>
      </c>
      <c r="L2001" s="2">
        <v>1647210</v>
      </c>
      <c r="M2001" s="2">
        <v>174452</v>
      </c>
      <c r="N2001" s="2">
        <v>0</v>
      </c>
      <c r="O2001" s="2">
        <v>91539</v>
      </c>
      <c r="P2001" t="s">
        <v>24</v>
      </c>
      <c r="Q2001" t="s">
        <v>24</v>
      </c>
    </row>
    <row r="2002" spans="1:17" x14ac:dyDescent="0.25">
      <c r="A2002" t="s">
        <v>1954</v>
      </c>
      <c r="B2002" t="s">
        <v>1955</v>
      </c>
      <c r="C2002" s="1">
        <v>41275</v>
      </c>
      <c r="D2002" s="1">
        <v>41639</v>
      </c>
      <c r="E2002" t="s">
        <v>1956</v>
      </c>
      <c r="G2002" t="s">
        <v>147</v>
      </c>
      <c r="H2002" t="s">
        <v>62</v>
      </c>
      <c r="I2002" t="str">
        <f>"44333"</f>
        <v>44333</v>
      </c>
      <c r="J2002" t="s">
        <v>22</v>
      </c>
      <c r="K2002" t="s">
        <v>30</v>
      </c>
      <c r="L2002" s="2">
        <v>1646953</v>
      </c>
      <c r="M2002" s="2">
        <v>129710</v>
      </c>
      <c r="N2002" s="2">
        <v>0</v>
      </c>
      <c r="O2002" s="2">
        <v>85904</v>
      </c>
      <c r="P2002" t="s">
        <v>24</v>
      </c>
      <c r="Q2002" t="s">
        <v>24</v>
      </c>
    </row>
    <row r="2003" spans="1:17" x14ac:dyDescent="0.25">
      <c r="A2003" t="s">
        <v>664</v>
      </c>
      <c r="B2003" t="s">
        <v>665</v>
      </c>
      <c r="E2003" t="s">
        <v>104</v>
      </c>
      <c r="G2003" t="s">
        <v>28</v>
      </c>
      <c r="H2003" t="s">
        <v>29</v>
      </c>
      <c r="I2003" t="str">
        <f>"60680"</f>
        <v>60680</v>
      </c>
      <c r="J2003" t="s">
        <v>22</v>
      </c>
      <c r="K2003" t="s">
        <v>23</v>
      </c>
      <c r="L2003" s="2">
        <v>1642865</v>
      </c>
      <c r="M2003" s="2">
        <v>314947</v>
      </c>
      <c r="N2003" s="2">
        <v>0</v>
      </c>
      <c r="O2003" t="s">
        <v>24</v>
      </c>
      <c r="P2003" t="s">
        <v>24</v>
      </c>
      <c r="Q2003" t="s">
        <v>24</v>
      </c>
    </row>
    <row r="2004" spans="1:17" x14ac:dyDescent="0.25">
      <c r="A2004" t="s">
        <v>799</v>
      </c>
      <c r="B2004" t="s">
        <v>800</v>
      </c>
      <c r="C2004" s="1">
        <v>41091</v>
      </c>
      <c r="D2004" s="1">
        <v>41455</v>
      </c>
      <c r="E2004" t="s">
        <v>801</v>
      </c>
      <c r="G2004" t="s">
        <v>802</v>
      </c>
      <c r="H2004" t="s">
        <v>21</v>
      </c>
      <c r="I2004" t="str">
        <f>"46107"</f>
        <v>46107</v>
      </c>
      <c r="J2004" t="s">
        <v>63</v>
      </c>
      <c r="K2004" t="s">
        <v>30</v>
      </c>
      <c r="L2004" s="2">
        <v>1642430</v>
      </c>
      <c r="M2004" s="2">
        <v>84500</v>
      </c>
      <c r="N2004" s="2">
        <v>40091</v>
      </c>
      <c r="O2004" s="2">
        <v>117253</v>
      </c>
      <c r="P2004" s="2">
        <v>28598</v>
      </c>
      <c r="Q2004" s="2">
        <v>8074</v>
      </c>
    </row>
    <row r="2005" spans="1:17" x14ac:dyDescent="0.25">
      <c r="A2005" t="s">
        <v>3188</v>
      </c>
      <c r="B2005" t="s">
        <v>3189</v>
      </c>
      <c r="C2005" s="1">
        <v>41275</v>
      </c>
      <c r="D2005" s="1">
        <v>41639</v>
      </c>
      <c r="E2005" t="s">
        <v>3190</v>
      </c>
      <c r="G2005" t="s">
        <v>113</v>
      </c>
      <c r="H2005" t="s">
        <v>42</v>
      </c>
      <c r="I2005" t="str">
        <f>"53189"</f>
        <v>53189</v>
      </c>
      <c r="J2005" t="s">
        <v>22</v>
      </c>
      <c r="K2005" t="s">
        <v>23</v>
      </c>
      <c r="L2005" s="2">
        <v>1640483</v>
      </c>
      <c r="M2005" s="2">
        <v>761257</v>
      </c>
      <c r="N2005" s="2">
        <v>0</v>
      </c>
      <c r="O2005" s="2">
        <v>105995</v>
      </c>
      <c r="P2005" t="s">
        <v>24</v>
      </c>
      <c r="Q2005" t="s">
        <v>24</v>
      </c>
    </row>
    <row r="2006" spans="1:17" x14ac:dyDescent="0.25">
      <c r="A2006" t="s">
        <v>1246</v>
      </c>
      <c r="B2006" t="s">
        <v>1247</v>
      </c>
      <c r="C2006" s="1">
        <v>40909</v>
      </c>
      <c r="D2006" s="1">
        <v>41274</v>
      </c>
      <c r="E2006" t="s">
        <v>1248</v>
      </c>
      <c r="G2006" t="s">
        <v>86</v>
      </c>
      <c r="H2006" t="s">
        <v>42</v>
      </c>
      <c r="I2006" t="str">
        <f>"53704"</f>
        <v>53704</v>
      </c>
      <c r="J2006" t="s">
        <v>22</v>
      </c>
      <c r="K2006" t="s">
        <v>23</v>
      </c>
      <c r="L2006" s="2">
        <v>1637336</v>
      </c>
      <c r="M2006" s="2">
        <v>443997</v>
      </c>
      <c r="N2006" s="2">
        <v>0</v>
      </c>
      <c r="O2006" s="2">
        <v>50414</v>
      </c>
      <c r="P2006" t="s">
        <v>24</v>
      </c>
      <c r="Q2006" t="s">
        <v>24</v>
      </c>
    </row>
    <row r="2007" spans="1:17" x14ac:dyDescent="0.25">
      <c r="A2007" t="s">
        <v>4705</v>
      </c>
      <c r="B2007" t="s">
        <v>4706</v>
      </c>
      <c r="C2007" s="1">
        <v>41275</v>
      </c>
      <c r="D2007" s="1">
        <v>41639</v>
      </c>
      <c r="E2007" t="s">
        <v>4707</v>
      </c>
      <c r="G2007" t="s">
        <v>357</v>
      </c>
      <c r="H2007" t="s">
        <v>21</v>
      </c>
      <c r="I2007" t="str">
        <f>"46803"</f>
        <v>46803</v>
      </c>
      <c r="J2007" t="s">
        <v>63</v>
      </c>
      <c r="K2007" t="s">
        <v>23</v>
      </c>
      <c r="L2007" s="2">
        <v>1633125</v>
      </c>
      <c r="M2007" s="2">
        <v>23339</v>
      </c>
      <c r="N2007" s="2">
        <v>0</v>
      </c>
      <c r="O2007" s="2">
        <v>42266</v>
      </c>
      <c r="P2007" s="2">
        <v>1473</v>
      </c>
      <c r="Q2007" t="s">
        <v>24</v>
      </c>
    </row>
    <row r="2008" spans="1:17" x14ac:dyDescent="0.25">
      <c r="A2008" t="s">
        <v>4523</v>
      </c>
      <c r="B2008" t="s">
        <v>4524</v>
      </c>
      <c r="C2008" s="1">
        <v>41244</v>
      </c>
      <c r="D2008" s="1">
        <v>41608</v>
      </c>
      <c r="E2008" t="s">
        <v>4525</v>
      </c>
      <c r="G2008" t="s">
        <v>659</v>
      </c>
      <c r="H2008" t="s">
        <v>47</v>
      </c>
      <c r="I2008" t="str">
        <f>"48075"</f>
        <v>48075</v>
      </c>
      <c r="J2008" t="s">
        <v>22</v>
      </c>
      <c r="K2008" t="s">
        <v>30</v>
      </c>
      <c r="L2008" s="2">
        <v>1628643</v>
      </c>
      <c r="M2008" s="2">
        <v>393772</v>
      </c>
      <c r="N2008" s="2">
        <v>0</v>
      </c>
      <c r="O2008" s="2">
        <v>485442</v>
      </c>
      <c r="P2008" t="s">
        <v>24</v>
      </c>
      <c r="Q2008" t="s">
        <v>24</v>
      </c>
    </row>
    <row r="2009" spans="1:17" x14ac:dyDescent="0.25">
      <c r="A2009" t="s">
        <v>4310</v>
      </c>
      <c r="B2009" t="s">
        <v>4311</v>
      </c>
      <c r="C2009" s="1">
        <v>41456</v>
      </c>
      <c r="D2009" s="1">
        <v>41820</v>
      </c>
      <c r="E2009" t="s">
        <v>4312</v>
      </c>
      <c r="G2009" t="s">
        <v>77</v>
      </c>
      <c r="H2009" t="s">
        <v>78</v>
      </c>
      <c r="I2009" t="str">
        <f>"40232"</f>
        <v>40232</v>
      </c>
      <c r="J2009" t="s">
        <v>63</v>
      </c>
      <c r="K2009" t="s">
        <v>79</v>
      </c>
      <c r="L2009" s="2">
        <v>1625514</v>
      </c>
      <c r="M2009" s="2">
        <v>870861</v>
      </c>
      <c r="N2009" s="2">
        <v>0</v>
      </c>
      <c r="O2009" s="2">
        <v>827698</v>
      </c>
      <c r="P2009" s="2">
        <v>9584</v>
      </c>
      <c r="Q2009" s="2">
        <v>0</v>
      </c>
    </row>
    <row r="2010" spans="1:17" x14ac:dyDescent="0.25">
      <c r="A2010" t="s">
        <v>1834</v>
      </c>
      <c r="B2010" t="s">
        <v>1835</v>
      </c>
      <c r="C2010" s="1">
        <v>41275</v>
      </c>
      <c r="D2010" s="1">
        <v>41639</v>
      </c>
      <c r="E2010" t="s">
        <v>1836</v>
      </c>
      <c r="G2010" t="s">
        <v>41</v>
      </c>
      <c r="H2010" t="s">
        <v>42</v>
      </c>
      <c r="I2010" t="str">
        <f>"53208"</f>
        <v>53208</v>
      </c>
      <c r="J2010" t="s">
        <v>63</v>
      </c>
      <c r="K2010" t="s">
        <v>79</v>
      </c>
      <c r="L2010" s="2">
        <v>1625475</v>
      </c>
      <c r="M2010" s="2">
        <v>352043</v>
      </c>
      <c r="N2010" s="2">
        <v>0</v>
      </c>
      <c r="O2010" s="2">
        <v>321306</v>
      </c>
      <c r="P2010" s="2">
        <v>15462</v>
      </c>
      <c r="Q2010" s="2">
        <v>0</v>
      </c>
    </row>
    <row r="2011" spans="1:17" x14ac:dyDescent="0.25">
      <c r="A2011" t="s">
        <v>1542</v>
      </c>
      <c r="B2011" t="s">
        <v>1543</v>
      </c>
      <c r="C2011" s="1">
        <v>41275</v>
      </c>
      <c r="D2011" s="1">
        <v>41639</v>
      </c>
      <c r="E2011" t="s">
        <v>1544</v>
      </c>
      <c r="G2011" t="s">
        <v>416</v>
      </c>
      <c r="H2011" t="s">
        <v>29</v>
      </c>
      <c r="I2011" t="str">
        <f>"60067"</f>
        <v>60067</v>
      </c>
      <c r="J2011" t="s">
        <v>22</v>
      </c>
      <c r="K2011" t="s">
        <v>23</v>
      </c>
      <c r="L2011" s="2">
        <v>1620202</v>
      </c>
      <c r="M2011" s="2">
        <v>364985</v>
      </c>
      <c r="N2011" s="2">
        <v>0</v>
      </c>
      <c r="O2011" s="2">
        <v>65583</v>
      </c>
      <c r="P2011" t="s">
        <v>24</v>
      </c>
      <c r="Q2011" t="s">
        <v>24</v>
      </c>
    </row>
    <row r="2012" spans="1:17" x14ac:dyDescent="0.25">
      <c r="A2012" t="s">
        <v>613</v>
      </c>
      <c r="B2012" t="s">
        <v>614</v>
      </c>
      <c r="C2012" s="1">
        <v>41275</v>
      </c>
      <c r="D2012" s="1">
        <v>41639</v>
      </c>
      <c r="E2012" t="s">
        <v>40</v>
      </c>
      <c r="G2012" t="s">
        <v>41</v>
      </c>
      <c r="H2012" t="s">
        <v>42</v>
      </c>
      <c r="I2012" t="str">
        <f>"53201"</f>
        <v>53201</v>
      </c>
      <c r="J2012" t="s">
        <v>22</v>
      </c>
      <c r="K2012" t="s">
        <v>23</v>
      </c>
      <c r="L2012" s="2">
        <v>1620176</v>
      </c>
      <c r="M2012" s="2">
        <v>372610</v>
      </c>
      <c r="N2012" s="2">
        <v>0</v>
      </c>
      <c r="O2012" s="2">
        <v>88567</v>
      </c>
      <c r="P2012" t="s">
        <v>24</v>
      </c>
      <c r="Q2012" t="s">
        <v>24</v>
      </c>
    </row>
    <row r="2013" spans="1:17" x14ac:dyDescent="0.25">
      <c r="A2013" t="s">
        <v>6578</v>
      </c>
      <c r="B2013" t="s">
        <v>6579</v>
      </c>
      <c r="C2013" s="1">
        <v>41275</v>
      </c>
      <c r="D2013" s="1">
        <v>41639</v>
      </c>
      <c r="E2013" t="s">
        <v>320</v>
      </c>
      <c r="G2013" t="s">
        <v>139</v>
      </c>
      <c r="H2013" t="s">
        <v>47</v>
      </c>
      <c r="I2013" t="str">
        <f>"49501"</f>
        <v>49501</v>
      </c>
      <c r="J2013" t="s">
        <v>22</v>
      </c>
      <c r="K2013" t="s">
        <v>23</v>
      </c>
      <c r="L2013" s="2">
        <v>1618404</v>
      </c>
      <c r="M2013" s="2">
        <v>1033019</v>
      </c>
      <c r="N2013" s="2">
        <v>0</v>
      </c>
      <c r="O2013" s="2">
        <v>123565</v>
      </c>
      <c r="P2013" t="s">
        <v>24</v>
      </c>
      <c r="Q2013" t="s">
        <v>24</v>
      </c>
    </row>
    <row r="2014" spans="1:17" x14ac:dyDescent="0.25">
      <c r="A2014" t="s">
        <v>1398</v>
      </c>
      <c r="B2014" t="s">
        <v>1399</v>
      </c>
      <c r="C2014" s="1">
        <v>41244</v>
      </c>
      <c r="D2014" s="1">
        <v>41608</v>
      </c>
      <c r="E2014" t="s">
        <v>40</v>
      </c>
      <c r="G2014" t="s">
        <v>41</v>
      </c>
      <c r="H2014" t="s">
        <v>42</v>
      </c>
      <c r="I2014" t="str">
        <f>"53201"</f>
        <v>53201</v>
      </c>
      <c r="J2014" t="s">
        <v>22</v>
      </c>
      <c r="K2014" t="s">
        <v>30</v>
      </c>
      <c r="L2014" s="2">
        <v>1617782</v>
      </c>
      <c r="M2014" s="2">
        <v>803315</v>
      </c>
      <c r="N2014" s="2">
        <v>0</v>
      </c>
      <c r="O2014" s="2">
        <v>95128</v>
      </c>
      <c r="P2014" t="s">
        <v>24</v>
      </c>
      <c r="Q2014" t="s">
        <v>24</v>
      </c>
    </row>
    <row r="2015" spans="1:17" x14ac:dyDescent="0.25">
      <c r="A2015" t="s">
        <v>4417</v>
      </c>
      <c r="B2015" t="s">
        <v>4418</v>
      </c>
      <c r="C2015" s="1">
        <v>41091</v>
      </c>
      <c r="D2015" s="1">
        <v>41455</v>
      </c>
      <c r="E2015" t="s">
        <v>2516</v>
      </c>
      <c r="G2015" t="s">
        <v>2517</v>
      </c>
      <c r="H2015" t="s">
        <v>21</v>
      </c>
      <c r="I2015" t="str">
        <f>"46385"</f>
        <v>46385</v>
      </c>
      <c r="J2015" t="s">
        <v>22</v>
      </c>
      <c r="K2015" t="s">
        <v>30</v>
      </c>
      <c r="L2015" s="2">
        <v>1617779</v>
      </c>
      <c r="M2015" s="2">
        <v>28675</v>
      </c>
      <c r="N2015" s="2">
        <v>0</v>
      </c>
      <c r="O2015" s="2">
        <v>104704</v>
      </c>
      <c r="P2015" t="s">
        <v>24</v>
      </c>
      <c r="Q2015" t="s">
        <v>24</v>
      </c>
    </row>
    <row r="2016" spans="1:17" x14ac:dyDescent="0.25">
      <c r="A2016" t="s">
        <v>7126</v>
      </c>
      <c r="B2016" t="s">
        <v>7127</v>
      </c>
      <c r="C2016" s="1">
        <v>41275</v>
      </c>
      <c r="D2016" s="1">
        <v>41639</v>
      </c>
      <c r="E2016" t="s">
        <v>7128</v>
      </c>
      <c r="G2016" t="s">
        <v>3979</v>
      </c>
      <c r="H2016" t="s">
        <v>62</v>
      </c>
      <c r="I2016" t="str">
        <f>"44145"</f>
        <v>44145</v>
      </c>
      <c r="J2016" t="s">
        <v>22</v>
      </c>
      <c r="K2016" t="s">
        <v>30</v>
      </c>
      <c r="L2016" s="2">
        <v>1616364</v>
      </c>
      <c r="M2016" s="2">
        <v>1452066</v>
      </c>
      <c r="N2016" s="2">
        <v>0</v>
      </c>
      <c r="O2016" s="2">
        <v>1503247</v>
      </c>
      <c r="P2016" t="s">
        <v>24</v>
      </c>
      <c r="Q2016" t="s">
        <v>24</v>
      </c>
    </row>
    <row r="2017" spans="1:17" x14ac:dyDescent="0.25">
      <c r="A2017" t="s">
        <v>2355</v>
      </c>
      <c r="B2017" t="s">
        <v>2356</v>
      </c>
      <c r="C2017" s="1">
        <v>41275</v>
      </c>
      <c r="D2017" s="1">
        <v>41639</v>
      </c>
      <c r="E2017" t="s">
        <v>2357</v>
      </c>
      <c r="G2017" t="s">
        <v>2358</v>
      </c>
      <c r="H2017" t="s">
        <v>21</v>
      </c>
      <c r="I2017" t="str">
        <f>"46580"</f>
        <v>46580</v>
      </c>
      <c r="J2017" t="s">
        <v>22</v>
      </c>
      <c r="K2017" t="s">
        <v>23</v>
      </c>
      <c r="L2017" s="2">
        <v>1615569</v>
      </c>
      <c r="M2017" s="2">
        <v>856614</v>
      </c>
      <c r="N2017" s="2">
        <v>0</v>
      </c>
      <c r="O2017" s="2">
        <v>96708</v>
      </c>
      <c r="P2017" t="s">
        <v>24</v>
      </c>
      <c r="Q2017" t="s">
        <v>24</v>
      </c>
    </row>
    <row r="2018" spans="1:17" x14ac:dyDescent="0.25">
      <c r="A2018" t="s">
        <v>2767</v>
      </c>
      <c r="B2018" t="s">
        <v>2768</v>
      </c>
      <c r="C2018" s="1">
        <v>41275</v>
      </c>
      <c r="D2018" s="1">
        <v>41639</v>
      </c>
      <c r="E2018" t="s">
        <v>2769</v>
      </c>
      <c r="G2018" t="s">
        <v>77</v>
      </c>
      <c r="H2018" t="s">
        <v>78</v>
      </c>
      <c r="I2018" t="str">
        <f>"40205"</f>
        <v>40205</v>
      </c>
      <c r="J2018" t="s">
        <v>22</v>
      </c>
      <c r="K2018" t="s">
        <v>23</v>
      </c>
      <c r="L2018" s="2">
        <v>1608384</v>
      </c>
      <c r="M2018" s="2">
        <v>773184</v>
      </c>
      <c r="N2018" s="2">
        <v>0</v>
      </c>
      <c r="O2018" s="2">
        <v>327380</v>
      </c>
      <c r="P2018" t="s">
        <v>24</v>
      </c>
      <c r="Q2018" t="s">
        <v>24</v>
      </c>
    </row>
    <row r="2019" spans="1:17" x14ac:dyDescent="0.25">
      <c r="A2019" t="s">
        <v>3721</v>
      </c>
      <c r="B2019" t="s">
        <v>3722</v>
      </c>
      <c r="C2019" s="1">
        <v>41275</v>
      </c>
      <c r="D2019" s="1">
        <v>41639</v>
      </c>
      <c r="E2019" t="s">
        <v>3723</v>
      </c>
      <c r="G2019" t="s">
        <v>28</v>
      </c>
      <c r="H2019" t="s">
        <v>29</v>
      </c>
      <c r="I2019" t="str">
        <f>"60602"</f>
        <v>60602</v>
      </c>
      <c r="J2019" t="s">
        <v>22</v>
      </c>
      <c r="K2019" t="s">
        <v>30</v>
      </c>
      <c r="L2019" s="2">
        <v>1605569</v>
      </c>
      <c r="M2019" s="2">
        <v>142285</v>
      </c>
      <c r="N2019" s="2">
        <v>8028</v>
      </c>
      <c r="O2019" s="2">
        <v>301152</v>
      </c>
      <c r="P2019" t="s">
        <v>24</v>
      </c>
      <c r="Q2019" t="s">
        <v>24</v>
      </c>
    </row>
    <row r="2020" spans="1:17" x14ac:dyDescent="0.25">
      <c r="A2020" t="s">
        <v>1295</v>
      </c>
      <c r="B2020" t="s">
        <v>1296</v>
      </c>
      <c r="C2020" s="1">
        <v>40909</v>
      </c>
      <c r="D2020" s="1">
        <v>41274</v>
      </c>
      <c r="E2020" t="s">
        <v>1297</v>
      </c>
      <c r="G2020" t="s">
        <v>167</v>
      </c>
      <c r="H2020" t="s">
        <v>62</v>
      </c>
      <c r="I2020" t="str">
        <f>"45236"</f>
        <v>45236</v>
      </c>
      <c r="J2020" t="s">
        <v>22</v>
      </c>
      <c r="K2020" t="s">
        <v>23</v>
      </c>
      <c r="L2020" s="2">
        <v>1605018</v>
      </c>
      <c r="M2020" s="2">
        <v>30282</v>
      </c>
      <c r="N2020" s="2">
        <v>0</v>
      </c>
      <c r="O2020" s="2">
        <v>74174</v>
      </c>
      <c r="P2020" t="s">
        <v>24</v>
      </c>
      <c r="Q2020" t="s">
        <v>24</v>
      </c>
    </row>
    <row r="2021" spans="1:17" x14ac:dyDescent="0.25">
      <c r="A2021" t="s">
        <v>3397</v>
      </c>
      <c r="B2021" t="s">
        <v>3398</v>
      </c>
      <c r="C2021" s="1">
        <v>41456</v>
      </c>
      <c r="D2021" s="1">
        <v>41820</v>
      </c>
      <c r="E2021" t="s">
        <v>163</v>
      </c>
      <c r="G2021" t="s">
        <v>28</v>
      </c>
      <c r="H2021" t="s">
        <v>29</v>
      </c>
      <c r="I2021" t="str">
        <f>"60603"</f>
        <v>60603</v>
      </c>
      <c r="J2021" t="s">
        <v>22</v>
      </c>
      <c r="K2021" t="s">
        <v>91</v>
      </c>
      <c r="L2021" s="2">
        <v>1603843</v>
      </c>
      <c r="M2021" s="2">
        <v>673670</v>
      </c>
      <c r="N2021" s="2">
        <v>0</v>
      </c>
      <c r="O2021" s="2">
        <v>95006</v>
      </c>
      <c r="P2021" t="s">
        <v>24</v>
      </c>
      <c r="Q2021" t="s">
        <v>24</v>
      </c>
    </row>
    <row r="2022" spans="1:17" x14ac:dyDescent="0.25">
      <c r="A2022" t="s">
        <v>3050</v>
      </c>
      <c r="B2022" t="s">
        <v>3051</v>
      </c>
      <c r="C2022" s="1">
        <v>41275</v>
      </c>
      <c r="D2022" s="1">
        <v>41639</v>
      </c>
      <c r="E2022" t="s">
        <v>50</v>
      </c>
      <c r="G2022" t="s">
        <v>28</v>
      </c>
      <c r="H2022" t="s">
        <v>29</v>
      </c>
      <c r="I2022" t="str">
        <f>"60603"</f>
        <v>60603</v>
      </c>
      <c r="J2022" t="s">
        <v>22</v>
      </c>
      <c r="K2022" t="s">
        <v>30</v>
      </c>
      <c r="L2022" s="2">
        <v>1602897</v>
      </c>
      <c r="M2022" s="2">
        <v>766983</v>
      </c>
      <c r="N2022" s="2">
        <v>0</v>
      </c>
      <c r="O2022" s="2">
        <v>81723</v>
      </c>
      <c r="P2022" t="s">
        <v>24</v>
      </c>
      <c r="Q2022" t="s">
        <v>24</v>
      </c>
    </row>
    <row r="2023" spans="1:17" x14ac:dyDescent="0.25">
      <c r="A2023" t="s">
        <v>6358</v>
      </c>
      <c r="B2023" t="s">
        <v>6359</v>
      </c>
      <c r="C2023" s="1">
        <v>41275</v>
      </c>
      <c r="D2023" s="1">
        <v>41639</v>
      </c>
      <c r="E2023" t="s">
        <v>6360</v>
      </c>
      <c r="G2023" t="s">
        <v>28</v>
      </c>
      <c r="H2023" t="s">
        <v>29</v>
      </c>
      <c r="I2023" t="str">
        <f>"60606"</f>
        <v>60606</v>
      </c>
      <c r="J2023" t="s">
        <v>22</v>
      </c>
      <c r="K2023" t="s">
        <v>23</v>
      </c>
      <c r="L2023" s="2">
        <v>1602185</v>
      </c>
      <c r="M2023" s="2">
        <v>3078895</v>
      </c>
      <c r="N2023" s="2">
        <v>0</v>
      </c>
      <c r="O2023" s="2">
        <v>107228</v>
      </c>
      <c r="P2023" t="s">
        <v>24</v>
      </c>
      <c r="Q2023" t="s">
        <v>24</v>
      </c>
    </row>
    <row r="2024" spans="1:17" x14ac:dyDescent="0.25">
      <c r="A2024" t="s">
        <v>4100</v>
      </c>
      <c r="B2024" t="s">
        <v>4101</v>
      </c>
      <c r="C2024" s="1">
        <v>41275</v>
      </c>
      <c r="D2024" s="1">
        <v>41639</v>
      </c>
      <c r="E2024" t="s">
        <v>40</v>
      </c>
      <c r="G2024" t="s">
        <v>41</v>
      </c>
      <c r="H2024" t="s">
        <v>42</v>
      </c>
      <c r="I2024" t="str">
        <f>"53201"</f>
        <v>53201</v>
      </c>
      <c r="J2024" t="s">
        <v>22</v>
      </c>
      <c r="K2024" t="s">
        <v>23</v>
      </c>
      <c r="L2024" s="2">
        <v>1600654</v>
      </c>
      <c r="M2024" s="2">
        <v>1000797</v>
      </c>
      <c r="N2024" s="2">
        <v>0</v>
      </c>
      <c r="O2024" s="2">
        <v>79150</v>
      </c>
      <c r="P2024" t="s">
        <v>24</v>
      </c>
      <c r="Q2024" t="s">
        <v>24</v>
      </c>
    </row>
    <row r="2025" spans="1:17" x14ac:dyDescent="0.25">
      <c r="A2025" t="s">
        <v>1938</v>
      </c>
      <c r="B2025" t="s">
        <v>1939</v>
      </c>
      <c r="C2025" s="1">
        <v>41456</v>
      </c>
      <c r="D2025" s="1">
        <v>41820</v>
      </c>
      <c r="E2025" t="s">
        <v>1342</v>
      </c>
      <c r="G2025" t="s">
        <v>77</v>
      </c>
      <c r="H2025" t="s">
        <v>78</v>
      </c>
      <c r="I2025" t="str">
        <f>"40232"</f>
        <v>40232</v>
      </c>
      <c r="J2025" t="s">
        <v>22</v>
      </c>
      <c r="K2025" t="s">
        <v>23</v>
      </c>
      <c r="L2025" s="2">
        <v>1599814</v>
      </c>
      <c r="M2025" s="2">
        <v>284005</v>
      </c>
      <c r="N2025" s="2">
        <v>0</v>
      </c>
      <c r="O2025" s="2">
        <v>84306</v>
      </c>
      <c r="P2025" t="s">
        <v>24</v>
      </c>
      <c r="Q2025" t="s">
        <v>24</v>
      </c>
    </row>
    <row r="2026" spans="1:17" x14ac:dyDescent="0.25">
      <c r="A2026" t="s">
        <v>3704</v>
      </c>
      <c r="B2026" t="s">
        <v>3705</v>
      </c>
      <c r="C2026" s="1">
        <v>41275</v>
      </c>
      <c r="D2026" s="1">
        <v>41639</v>
      </c>
      <c r="E2026" t="s">
        <v>3706</v>
      </c>
      <c r="G2026" t="s">
        <v>3707</v>
      </c>
      <c r="H2026" t="s">
        <v>29</v>
      </c>
      <c r="I2026" t="str">
        <f>"60526"</f>
        <v>60526</v>
      </c>
      <c r="J2026" t="s">
        <v>22</v>
      </c>
      <c r="K2026" t="s">
        <v>30</v>
      </c>
      <c r="L2026" s="2">
        <v>1598301</v>
      </c>
      <c r="M2026" s="2">
        <v>42068</v>
      </c>
      <c r="N2026" s="2">
        <v>0</v>
      </c>
      <c r="O2026" s="2">
        <v>53424</v>
      </c>
      <c r="P2026" t="s">
        <v>24</v>
      </c>
      <c r="Q2026" t="s">
        <v>24</v>
      </c>
    </row>
    <row r="2027" spans="1:17" x14ac:dyDescent="0.25">
      <c r="A2027" t="s">
        <v>448</v>
      </c>
      <c r="B2027" t="s">
        <v>449</v>
      </c>
      <c r="C2027" s="1">
        <v>41275</v>
      </c>
      <c r="D2027" s="1">
        <v>41639</v>
      </c>
      <c r="E2027" t="s">
        <v>450</v>
      </c>
      <c r="G2027" t="s">
        <v>451</v>
      </c>
      <c r="H2027" t="s">
        <v>29</v>
      </c>
      <c r="I2027" t="str">
        <f>"62650"</f>
        <v>62650</v>
      </c>
      <c r="J2027" t="s">
        <v>22</v>
      </c>
      <c r="K2027" t="s">
        <v>23</v>
      </c>
      <c r="L2027" s="2">
        <v>1598297</v>
      </c>
      <c r="M2027" s="2">
        <v>156617</v>
      </c>
      <c r="N2027" s="2">
        <v>0</v>
      </c>
      <c r="O2027" s="2">
        <v>74889</v>
      </c>
      <c r="P2027" t="s">
        <v>24</v>
      </c>
      <c r="Q2027" t="s">
        <v>24</v>
      </c>
    </row>
    <row r="2028" spans="1:17" x14ac:dyDescent="0.25">
      <c r="A2028" t="s">
        <v>5072</v>
      </c>
      <c r="B2028" t="s">
        <v>5073</v>
      </c>
      <c r="C2028" s="1">
        <v>41275</v>
      </c>
      <c r="D2028" s="1">
        <v>41639</v>
      </c>
      <c r="E2028" t="s">
        <v>5074</v>
      </c>
      <c r="G2028" t="s">
        <v>353</v>
      </c>
      <c r="H2028" t="s">
        <v>62</v>
      </c>
      <c r="I2028" t="str">
        <f>"43240"</f>
        <v>43240</v>
      </c>
      <c r="J2028" t="s">
        <v>22</v>
      </c>
      <c r="K2028" t="s">
        <v>23</v>
      </c>
      <c r="L2028" s="2">
        <v>1597941</v>
      </c>
      <c r="M2028" s="2">
        <v>171798</v>
      </c>
      <c r="N2028" s="2">
        <v>0</v>
      </c>
      <c r="O2028" s="2">
        <v>96737</v>
      </c>
      <c r="P2028" t="s">
        <v>24</v>
      </c>
      <c r="Q2028" t="s">
        <v>24</v>
      </c>
    </row>
    <row r="2029" spans="1:17" x14ac:dyDescent="0.25">
      <c r="A2029" t="s">
        <v>3676</v>
      </c>
      <c r="B2029" t="s">
        <v>3677</v>
      </c>
      <c r="C2029" s="1">
        <v>41275</v>
      </c>
      <c r="D2029" s="1">
        <v>41639</v>
      </c>
      <c r="E2029" t="s">
        <v>3678</v>
      </c>
      <c r="G2029" t="s">
        <v>3679</v>
      </c>
      <c r="H2029" t="s">
        <v>42</v>
      </c>
      <c r="I2029" t="str">
        <f>"54901"</f>
        <v>54901</v>
      </c>
      <c r="J2029" t="s">
        <v>22</v>
      </c>
      <c r="K2029" t="s">
        <v>23</v>
      </c>
      <c r="L2029" s="2">
        <v>1594751</v>
      </c>
      <c r="M2029" s="2">
        <v>22969</v>
      </c>
      <c r="N2029" s="2">
        <v>0</v>
      </c>
      <c r="O2029" s="2">
        <v>134219</v>
      </c>
      <c r="P2029" t="s">
        <v>24</v>
      </c>
      <c r="Q2029" t="s">
        <v>24</v>
      </c>
    </row>
    <row r="2030" spans="1:17" x14ac:dyDescent="0.25">
      <c r="A2030" t="s">
        <v>4994</v>
      </c>
      <c r="B2030" t="s">
        <v>4995</v>
      </c>
      <c r="C2030" s="1">
        <v>41275</v>
      </c>
      <c r="D2030" s="1">
        <v>41639</v>
      </c>
      <c r="E2030" t="s">
        <v>4996</v>
      </c>
      <c r="G2030" t="s">
        <v>139</v>
      </c>
      <c r="H2030" t="s">
        <v>47</v>
      </c>
      <c r="I2030" t="str">
        <f>"49508"</f>
        <v>49508</v>
      </c>
      <c r="J2030" t="s">
        <v>22</v>
      </c>
      <c r="K2030" t="s">
        <v>30</v>
      </c>
      <c r="L2030" s="2">
        <v>1594683</v>
      </c>
      <c r="M2030" s="2">
        <v>812051</v>
      </c>
      <c r="N2030" s="2">
        <v>8458</v>
      </c>
      <c r="O2030" s="2">
        <v>141712</v>
      </c>
      <c r="P2030" t="s">
        <v>24</v>
      </c>
      <c r="Q2030" t="s">
        <v>24</v>
      </c>
    </row>
    <row r="2031" spans="1:17" x14ac:dyDescent="0.25">
      <c r="A2031" t="s">
        <v>4398</v>
      </c>
      <c r="B2031" t="s">
        <v>4399</v>
      </c>
      <c r="C2031" s="1">
        <v>40909</v>
      </c>
      <c r="D2031" s="1">
        <v>41274</v>
      </c>
      <c r="E2031" t="s">
        <v>4400</v>
      </c>
      <c r="G2031" t="s">
        <v>20</v>
      </c>
      <c r="H2031" t="s">
        <v>21</v>
      </c>
      <c r="I2031" t="str">
        <f>"46202"</f>
        <v>46202</v>
      </c>
      <c r="J2031" t="s">
        <v>22</v>
      </c>
      <c r="K2031" t="s">
        <v>23</v>
      </c>
      <c r="L2031" s="2">
        <v>1592064</v>
      </c>
      <c r="M2031" s="2">
        <v>874749</v>
      </c>
      <c r="N2031" s="2">
        <v>0</v>
      </c>
      <c r="O2031" s="2">
        <v>56422</v>
      </c>
      <c r="P2031" t="s">
        <v>24</v>
      </c>
      <c r="Q2031" t="s">
        <v>24</v>
      </c>
    </row>
    <row r="2032" spans="1:17" x14ac:dyDescent="0.25">
      <c r="A2032" t="s">
        <v>6743</v>
      </c>
      <c r="B2032" t="s">
        <v>6744</v>
      </c>
      <c r="C2032" s="1">
        <v>41091</v>
      </c>
      <c r="D2032" s="1">
        <v>41455</v>
      </c>
      <c r="E2032" t="s">
        <v>6745</v>
      </c>
      <c r="G2032" t="s">
        <v>5814</v>
      </c>
      <c r="H2032" t="s">
        <v>47</v>
      </c>
      <c r="I2032" t="str">
        <f>"48080"</f>
        <v>48080</v>
      </c>
      <c r="J2032" t="s">
        <v>22</v>
      </c>
      <c r="K2032" t="s">
        <v>30</v>
      </c>
      <c r="L2032" s="2">
        <v>1590916</v>
      </c>
      <c r="M2032" s="2">
        <v>1132155</v>
      </c>
      <c r="N2032" s="2">
        <v>0</v>
      </c>
      <c r="O2032" s="2">
        <v>95466</v>
      </c>
      <c r="P2032" t="s">
        <v>24</v>
      </c>
      <c r="Q2032" t="s">
        <v>24</v>
      </c>
    </row>
    <row r="2033" spans="1:17" x14ac:dyDescent="0.25">
      <c r="A2033" t="s">
        <v>4461</v>
      </c>
      <c r="B2033" t="s">
        <v>4462</v>
      </c>
      <c r="C2033" s="1">
        <v>41244</v>
      </c>
      <c r="D2033" s="1">
        <v>41608</v>
      </c>
      <c r="E2033" t="s">
        <v>40</v>
      </c>
      <c r="G2033" t="s">
        <v>41</v>
      </c>
      <c r="H2033" t="s">
        <v>42</v>
      </c>
      <c r="I2033" t="str">
        <f>"53201"</f>
        <v>53201</v>
      </c>
      <c r="J2033" t="s">
        <v>22</v>
      </c>
      <c r="K2033" t="s">
        <v>23</v>
      </c>
      <c r="L2033" s="2">
        <v>1589546</v>
      </c>
      <c r="M2033" s="2">
        <v>790194</v>
      </c>
      <c r="N2033" s="2">
        <v>0</v>
      </c>
      <c r="O2033" s="2">
        <v>112575</v>
      </c>
      <c r="P2033" t="s">
        <v>24</v>
      </c>
      <c r="Q2033" t="s">
        <v>24</v>
      </c>
    </row>
    <row r="2034" spans="1:17" x14ac:dyDescent="0.25">
      <c r="A2034" t="s">
        <v>5340</v>
      </c>
      <c r="B2034" t="s">
        <v>5341</v>
      </c>
      <c r="C2034" s="1">
        <v>41275</v>
      </c>
      <c r="D2034" s="1">
        <v>41639</v>
      </c>
      <c r="E2034" t="s">
        <v>1636</v>
      </c>
      <c r="G2034" t="s">
        <v>28</v>
      </c>
      <c r="H2034" t="s">
        <v>29</v>
      </c>
      <c r="I2034" t="str">
        <f>"60603"</f>
        <v>60603</v>
      </c>
      <c r="J2034" t="s">
        <v>22</v>
      </c>
      <c r="K2034" t="s">
        <v>23</v>
      </c>
      <c r="L2034" s="2">
        <v>1589406</v>
      </c>
      <c r="M2034" s="2">
        <v>1030768</v>
      </c>
      <c r="N2034" s="2">
        <v>0</v>
      </c>
      <c r="O2034" s="2">
        <v>65915</v>
      </c>
      <c r="P2034" t="s">
        <v>24</v>
      </c>
      <c r="Q2034" t="s">
        <v>24</v>
      </c>
    </row>
    <row r="2035" spans="1:17" x14ac:dyDescent="0.25">
      <c r="A2035" t="s">
        <v>2521</v>
      </c>
      <c r="B2035" t="s">
        <v>2522</v>
      </c>
      <c r="C2035" s="1">
        <v>41275</v>
      </c>
      <c r="D2035" s="1">
        <v>41639</v>
      </c>
      <c r="E2035" t="s">
        <v>2523</v>
      </c>
      <c r="G2035" t="s">
        <v>378</v>
      </c>
      <c r="H2035" t="s">
        <v>47</v>
      </c>
      <c r="I2035" t="str">
        <f>"49615"</f>
        <v>49615</v>
      </c>
      <c r="J2035" t="s">
        <v>22</v>
      </c>
      <c r="K2035" t="s">
        <v>23</v>
      </c>
      <c r="L2035" s="2">
        <v>1587988</v>
      </c>
      <c r="M2035" s="2">
        <v>89178</v>
      </c>
      <c r="N2035" s="2">
        <v>0</v>
      </c>
      <c r="O2035" s="2">
        <v>55777</v>
      </c>
      <c r="P2035" t="s">
        <v>24</v>
      </c>
      <c r="Q2035" t="s">
        <v>24</v>
      </c>
    </row>
    <row r="2036" spans="1:17" x14ac:dyDescent="0.25">
      <c r="A2036" t="s">
        <v>131</v>
      </c>
      <c r="B2036" t="s">
        <v>132</v>
      </c>
      <c r="C2036" s="1">
        <v>41456</v>
      </c>
      <c r="D2036" s="1">
        <v>41820</v>
      </c>
      <c r="E2036" t="s">
        <v>133</v>
      </c>
      <c r="G2036" t="s">
        <v>57</v>
      </c>
      <c r="H2036" t="s">
        <v>29</v>
      </c>
      <c r="I2036" t="str">
        <f>"60523"</f>
        <v>60523</v>
      </c>
      <c r="J2036" t="s">
        <v>22</v>
      </c>
      <c r="K2036" t="s">
        <v>30</v>
      </c>
      <c r="L2036" s="2">
        <v>1587520</v>
      </c>
      <c r="M2036" s="2">
        <v>111584</v>
      </c>
      <c r="N2036" s="2">
        <v>0</v>
      </c>
      <c r="O2036" s="2">
        <v>100413</v>
      </c>
      <c r="P2036" t="s">
        <v>24</v>
      </c>
      <c r="Q2036" t="s">
        <v>24</v>
      </c>
    </row>
    <row r="2037" spans="1:17" x14ac:dyDescent="0.25">
      <c r="A2037" t="s">
        <v>5679</v>
      </c>
      <c r="B2037" t="s">
        <v>5680</v>
      </c>
      <c r="C2037" s="1">
        <v>41395</v>
      </c>
      <c r="D2037" s="1">
        <v>41759</v>
      </c>
      <c r="E2037" t="s">
        <v>104</v>
      </c>
      <c r="G2037" t="s">
        <v>28</v>
      </c>
      <c r="H2037" t="s">
        <v>29</v>
      </c>
      <c r="I2037" t="str">
        <f>"60680"</f>
        <v>60680</v>
      </c>
      <c r="J2037" t="s">
        <v>22</v>
      </c>
      <c r="K2037" t="s">
        <v>91</v>
      </c>
      <c r="L2037" s="2">
        <v>1586770</v>
      </c>
      <c r="M2037" s="2">
        <v>1607554</v>
      </c>
      <c r="N2037" s="2">
        <v>0</v>
      </c>
      <c r="O2037" s="2">
        <v>79976</v>
      </c>
      <c r="P2037" t="s">
        <v>24</v>
      </c>
      <c r="Q2037" t="s">
        <v>24</v>
      </c>
    </row>
    <row r="2038" spans="1:17" x14ac:dyDescent="0.25">
      <c r="A2038" t="s">
        <v>6189</v>
      </c>
      <c r="B2038" t="s">
        <v>6190</v>
      </c>
      <c r="C2038" s="1">
        <v>41275</v>
      </c>
      <c r="D2038" s="1">
        <v>41639</v>
      </c>
      <c r="E2038" t="s">
        <v>6191</v>
      </c>
      <c r="G2038" t="s">
        <v>768</v>
      </c>
      <c r="H2038" t="s">
        <v>62</v>
      </c>
      <c r="I2038" t="str">
        <f>"44122"</f>
        <v>44122</v>
      </c>
      <c r="J2038" t="s">
        <v>22</v>
      </c>
      <c r="K2038" t="s">
        <v>23</v>
      </c>
      <c r="L2038" s="2">
        <v>1583181</v>
      </c>
      <c r="M2038" s="2">
        <v>2584030</v>
      </c>
      <c r="N2038" s="2">
        <v>0</v>
      </c>
      <c r="O2038" s="2">
        <v>12712</v>
      </c>
      <c r="P2038" t="s">
        <v>24</v>
      </c>
      <c r="Q2038" t="s">
        <v>24</v>
      </c>
    </row>
    <row r="2039" spans="1:17" x14ac:dyDescent="0.25">
      <c r="A2039" t="s">
        <v>6374</v>
      </c>
      <c r="B2039" t="s">
        <v>6375</v>
      </c>
      <c r="C2039" s="1">
        <v>41275</v>
      </c>
      <c r="D2039" s="1">
        <v>41639</v>
      </c>
      <c r="E2039" t="s">
        <v>6376</v>
      </c>
      <c r="G2039" t="s">
        <v>2534</v>
      </c>
      <c r="H2039" t="s">
        <v>78</v>
      </c>
      <c r="I2039" t="str">
        <f>"42301"</f>
        <v>42301</v>
      </c>
      <c r="J2039" t="s">
        <v>22</v>
      </c>
      <c r="K2039" t="s">
        <v>30</v>
      </c>
      <c r="L2039" s="2">
        <v>1579779</v>
      </c>
      <c r="M2039" s="2">
        <v>1198389</v>
      </c>
      <c r="N2039" s="2">
        <v>0</v>
      </c>
      <c r="O2039" s="2">
        <v>91315</v>
      </c>
      <c r="P2039" t="s">
        <v>24</v>
      </c>
      <c r="Q2039" t="s">
        <v>24</v>
      </c>
    </row>
    <row r="2040" spans="1:17" x14ac:dyDescent="0.25">
      <c r="A2040" t="s">
        <v>566</v>
      </c>
      <c r="B2040" t="s">
        <v>567</v>
      </c>
      <c r="C2040" s="1">
        <v>41275</v>
      </c>
      <c r="D2040" s="1">
        <v>41639</v>
      </c>
      <c r="E2040" t="s">
        <v>568</v>
      </c>
      <c r="G2040" t="s">
        <v>569</v>
      </c>
      <c r="H2040" t="s">
        <v>42</v>
      </c>
      <c r="I2040" t="str">
        <f>"53020"</f>
        <v>53020</v>
      </c>
      <c r="J2040" t="s">
        <v>22</v>
      </c>
      <c r="K2040" t="s">
        <v>30</v>
      </c>
      <c r="L2040" s="2">
        <v>1576739</v>
      </c>
      <c r="M2040" s="2">
        <v>198350</v>
      </c>
      <c r="N2040" s="2">
        <v>0</v>
      </c>
      <c r="O2040" s="2">
        <v>88499</v>
      </c>
      <c r="P2040" t="s">
        <v>24</v>
      </c>
      <c r="Q2040" t="s">
        <v>24</v>
      </c>
    </row>
    <row r="2041" spans="1:17" x14ac:dyDescent="0.25">
      <c r="A2041" t="s">
        <v>1237</v>
      </c>
      <c r="B2041" t="s">
        <v>1238</v>
      </c>
      <c r="C2041" s="1">
        <v>41275</v>
      </c>
      <c r="D2041" s="1">
        <v>41639</v>
      </c>
      <c r="E2041" t="s">
        <v>1239</v>
      </c>
      <c r="G2041" t="s">
        <v>940</v>
      </c>
      <c r="H2041" t="s">
        <v>42</v>
      </c>
      <c r="I2041" t="str">
        <f>"53027"</f>
        <v>53027</v>
      </c>
      <c r="J2041" t="s">
        <v>22</v>
      </c>
      <c r="K2041" t="s">
        <v>23</v>
      </c>
      <c r="L2041" s="2">
        <v>1575242</v>
      </c>
      <c r="M2041" s="2">
        <v>873504</v>
      </c>
      <c r="N2041" s="2">
        <v>450</v>
      </c>
      <c r="O2041" s="2">
        <v>74166</v>
      </c>
      <c r="P2041" t="s">
        <v>24</v>
      </c>
      <c r="Q2041" t="s">
        <v>24</v>
      </c>
    </row>
    <row r="2042" spans="1:17" x14ac:dyDescent="0.25">
      <c r="A2042" t="s">
        <v>5003</v>
      </c>
      <c r="B2042" t="s">
        <v>5004</v>
      </c>
      <c r="C2042" s="1">
        <v>41275</v>
      </c>
      <c r="D2042" s="1">
        <v>41639</v>
      </c>
      <c r="E2042" t="s">
        <v>5005</v>
      </c>
      <c r="G2042" t="s">
        <v>5006</v>
      </c>
      <c r="H2042" t="s">
        <v>62</v>
      </c>
      <c r="I2042" t="str">
        <f>"45601"</f>
        <v>45601</v>
      </c>
      <c r="J2042" t="s">
        <v>63</v>
      </c>
      <c r="K2042" t="s">
        <v>64</v>
      </c>
      <c r="L2042" s="2">
        <v>1574654</v>
      </c>
      <c r="M2042" s="2">
        <v>576207</v>
      </c>
      <c r="N2042" s="2">
        <v>0</v>
      </c>
      <c r="O2042" s="2">
        <v>151889</v>
      </c>
      <c r="P2042" s="2">
        <v>24554</v>
      </c>
      <c r="Q2042" s="2">
        <v>0</v>
      </c>
    </row>
    <row r="2043" spans="1:17" x14ac:dyDescent="0.25">
      <c r="A2043" t="s">
        <v>877</v>
      </c>
      <c r="B2043" t="s">
        <v>878</v>
      </c>
      <c r="C2043" s="1">
        <v>41275</v>
      </c>
      <c r="D2043" s="1">
        <v>41639</v>
      </c>
      <c r="E2043" t="s">
        <v>879</v>
      </c>
      <c r="G2043" t="s">
        <v>880</v>
      </c>
      <c r="H2043" t="s">
        <v>29</v>
      </c>
      <c r="I2043" t="str">
        <f>"60022"</f>
        <v>60022</v>
      </c>
      <c r="J2043" t="s">
        <v>22</v>
      </c>
      <c r="K2043" t="s">
        <v>79</v>
      </c>
      <c r="L2043" s="2">
        <v>1573568</v>
      </c>
      <c r="M2043" s="2">
        <v>1911524</v>
      </c>
      <c r="N2043" s="2">
        <v>0</v>
      </c>
      <c r="O2043" s="2">
        <v>323459</v>
      </c>
      <c r="P2043" t="s">
        <v>24</v>
      </c>
      <c r="Q2043" t="s">
        <v>24</v>
      </c>
    </row>
    <row r="2044" spans="1:17" x14ac:dyDescent="0.25">
      <c r="A2044" t="s">
        <v>1298</v>
      </c>
      <c r="B2044" t="s">
        <v>1299</v>
      </c>
      <c r="C2044" s="1">
        <v>41091</v>
      </c>
      <c r="D2044" s="1">
        <v>41455</v>
      </c>
      <c r="E2044" t="s">
        <v>1300</v>
      </c>
      <c r="G2044" t="s">
        <v>768</v>
      </c>
      <c r="H2044" t="s">
        <v>62</v>
      </c>
      <c r="I2044" t="str">
        <f>"44122"</f>
        <v>44122</v>
      </c>
      <c r="J2044" t="s">
        <v>22</v>
      </c>
      <c r="K2044" t="s">
        <v>23</v>
      </c>
      <c r="L2044" s="2">
        <v>1573384</v>
      </c>
      <c r="M2044" s="2">
        <v>324135</v>
      </c>
      <c r="N2044" s="2">
        <v>0</v>
      </c>
      <c r="O2044" s="2">
        <v>50305</v>
      </c>
      <c r="P2044" t="s">
        <v>24</v>
      </c>
      <c r="Q2044" t="s">
        <v>24</v>
      </c>
    </row>
    <row r="2045" spans="1:17" x14ac:dyDescent="0.25">
      <c r="A2045" t="s">
        <v>6216</v>
      </c>
      <c r="B2045" t="s">
        <v>6217</v>
      </c>
      <c r="C2045" s="1">
        <v>41275</v>
      </c>
      <c r="D2045" s="1">
        <v>41639</v>
      </c>
      <c r="E2045" t="s">
        <v>6218</v>
      </c>
      <c r="G2045" t="s">
        <v>3645</v>
      </c>
      <c r="H2045" t="s">
        <v>42</v>
      </c>
      <c r="I2045" t="str">
        <f>"53029"</f>
        <v>53029</v>
      </c>
      <c r="J2045" t="s">
        <v>22</v>
      </c>
      <c r="K2045" t="s">
        <v>23</v>
      </c>
      <c r="L2045" s="2">
        <v>1573054</v>
      </c>
      <c r="M2045" s="2">
        <v>4323149</v>
      </c>
      <c r="N2045" s="2">
        <v>0</v>
      </c>
      <c r="O2045" s="2">
        <v>102380</v>
      </c>
      <c r="P2045" t="s">
        <v>24</v>
      </c>
      <c r="Q2045" t="s">
        <v>24</v>
      </c>
    </row>
    <row r="2046" spans="1:17" x14ac:dyDescent="0.25">
      <c r="A2046" t="s">
        <v>2111</v>
      </c>
      <c r="B2046" t="s">
        <v>2112</v>
      </c>
      <c r="C2046" s="1">
        <v>41275</v>
      </c>
      <c r="D2046" s="1">
        <v>41639</v>
      </c>
      <c r="E2046" t="s">
        <v>2113</v>
      </c>
      <c r="G2046" t="s">
        <v>357</v>
      </c>
      <c r="H2046" t="s">
        <v>21</v>
      </c>
      <c r="I2046" t="str">
        <f>"46804"</f>
        <v>46804</v>
      </c>
      <c r="J2046" t="s">
        <v>22</v>
      </c>
      <c r="K2046" t="s">
        <v>30</v>
      </c>
      <c r="L2046" s="2">
        <v>1570414</v>
      </c>
      <c r="M2046" s="2">
        <v>373278</v>
      </c>
      <c r="N2046" s="2">
        <v>0</v>
      </c>
      <c r="O2046" s="2">
        <v>219036</v>
      </c>
      <c r="P2046" t="s">
        <v>24</v>
      </c>
      <c r="Q2046" t="s">
        <v>24</v>
      </c>
    </row>
    <row r="2047" spans="1:17" x14ac:dyDescent="0.25">
      <c r="A2047" t="s">
        <v>1249</v>
      </c>
      <c r="B2047" t="s">
        <v>1250</v>
      </c>
      <c r="C2047" s="1">
        <v>40909</v>
      </c>
      <c r="D2047" s="1">
        <v>41274</v>
      </c>
      <c r="E2047" t="s">
        <v>1251</v>
      </c>
      <c r="G2047" t="s">
        <v>113</v>
      </c>
      <c r="H2047" t="s">
        <v>42</v>
      </c>
      <c r="I2047" t="str">
        <f>"53188"</f>
        <v>53188</v>
      </c>
      <c r="J2047" t="s">
        <v>22</v>
      </c>
      <c r="K2047" t="s">
        <v>30</v>
      </c>
      <c r="L2047" s="2">
        <v>1567784</v>
      </c>
      <c r="M2047" s="2">
        <v>406513</v>
      </c>
      <c r="N2047" s="2">
        <v>27700</v>
      </c>
      <c r="O2047" s="2">
        <v>209405</v>
      </c>
      <c r="P2047" t="s">
        <v>24</v>
      </c>
      <c r="Q2047" t="s">
        <v>24</v>
      </c>
    </row>
    <row r="2048" spans="1:17" x14ac:dyDescent="0.25">
      <c r="A2048" t="s">
        <v>3907</v>
      </c>
      <c r="B2048" t="s">
        <v>3908</v>
      </c>
      <c r="C2048" s="1">
        <v>41275</v>
      </c>
      <c r="D2048" s="1">
        <v>41639</v>
      </c>
      <c r="E2048" t="s">
        <v>104</v>
      </c>
      <c r="G2048" t="s">
        <v>28</v>
      </c>
      <c r="H2048" t="s">
        <v>29</v>
      </c>
      <c r="I2048" t="str">
        <f>"60680"</f>
        <v>60680</v>
      </c>
      <c r="J2048" t="s">
        <v>22</v>
      </c>
      <c r="K2048" t="s">
        <v>30</v>
      </c>
      <c r="L2048" s="2">
        <v>1562764</v>
      </c>
      <c r="M2048" s="2">
        <v>728174</v>
      </c>
      <c r="N2048" s="2">
        <v>30000</v>
      </c>
      <c r="O2048" s="2">
        <v>196649</v>
      </c>
      <c r="P2048" t="s">
        <v>24</v>
      </c>
      <c r="Q2048" t="s">
        <v>24</v>
      </c>
    </row>
    <row r="2049" spans="1:17" x14ac:dyDescent="0.25">
      <c r="A2049" t="s">
        <v>2262</v>
      </c>
      <c r="B2049" t="s">
        <v>2263</v>
      </c>
      <c r="C2049" s="1">
        <v>41275</v>
      </c>
      <c r="D2049" s="1">
        <v>41639</v>
      </c>
      <c r="E2049" t="s">
        <v>2264</v>
      </c>
      <c r="G2049" t="s">
        <v>2265</v>
      </c>
      <c r="H2049" t="s">
        <v>29</v>
      </c>
      <c r="I2049" t="str">
        <f>"62231"</f>
        <v>62231</v>
      </c>
      <c r="J2049" t="s">
        <v>22</v>
      </c>
      <c r="K2049" t="s">
        <v>30</v>
      </c>
      <c r="L2049" s="2">
        <v>1559792</v>
      </c>
      <c r="M2049" s="2">
        <v>2299346</v>
      </c>
      <c r="N2049" s="2">
        <v>0</v>
      </c>
      <c r="O2049" s="2">
        <v>1093759</v>
      </c>
      <c r="P2049" t="s">
        <v>24</v>
      </c>
      <c r="Q2049" t="s">
        <v>24</v>
      </c>
    </row>
    <row r="2050" spans="1:17" x14ac:dyDescent="0.25">
      <c r="A2050" t="s">
        <v>2487</v>
      </c>
      <c r="B2050" t="s">
        <v>2488</v>
      </c>
      <c r="C2050" s="1">
        <v>41275</v>
      </c>
      <c r="D2050" s="1">
        <v>41639</v>
      </c>
      <c r="E2050" t="s">
        <v>2489</v>
      </c>
      <c r="G2050" t="s">
        <v>2490</v>
      </c>
      <c r="H2050" t="s">
        <v>78</v>
      </c>
      <c r="I2050" t="str">
        <f>"40383"</f>
        <v>40383</v>
      </c>
      <c r="J2050" t="s">
        <v>22</v>
      </c>
      <c r="K2050" t="s">
        <v>30</v>
      </c>
      <c r="L2050" s="2">
        <v>1558491</v>
      </c>
      <c r="M2050" s="2">
        <v>767575</v>
      </c>
      <c r="N2050" s="2">
        <v>0</v>
      </c>
      <c r="O2050" s="2">
        <v>69225</v>
      </c>
      <c r="P2050" t="s">
        <v>24</v>
      </c>
      <c r="Q2050" t="s">
        <v>24</v>
      </c>
    </row>
    <row r="2051" spans="1:17" x14ac:dyDescent="0.25">
      <c r="A2051" t="s">
        <v>2606</v>
      </c>
      <c r="B2051" t="s">
        <v>2607</v>
      </c>
      <c r="C2051" s="1">
        <v>41275</v>
      </c>
      <c r="D2051" s="1">
        <v>41639</v>
      </c>
      <c r="E2051" t="s">
        <v>2608</v>
      </c>
      <c r="G2051" t="s">
        <v>2609</v>
      </c>
      <c r="H2051" t="s">
        <v>62</v>
      </c>
      <c r="I2051" t="str">
        <f>"43040"</f>
        <v>43040</v>
      </c>
      <c r="J2051" t="s">
        <v>22</v>
      </c>
      <c r="K2051" t="s">
        <v>23</v>
      </c>
      <c r="L2051" s="2">
        <v>1557507</v>
      </c>
      <c r="M2051" s="2">
        <v>568353</v>
      </c>
      <c r="N2051" s="2">
        <v>0</v>
      </c>
      <c r="O2051" s="2">
        <v>63271</v>
      </c>
      <c r="P2051" t="s">
        <v>24</v>
      </c>
      <c r="Q2051" t="s">
        <v>24</v>
      </c>
    </row>
    <row r="2052" spans="1:17" x14ac:dyDescent="0.25">
      <c r="A2052" t="s">
        <v>316</v>
      </c>
      <c r="B2052" t="s">
        <v>317</v>
      </c>
      <c r="C2052" s="1">
        <v>41275</v>
      </c>
      <c r="D2052" s="1">
        <v>41639</v>
      </c>
      <c r="E2052" t="s">
        <v>50</v>
      </c>
      <c r="G2052" t="s">
        <v>28</v>
      </c>
      <c r="H2052" t="s">
        <v>29</v>
      </c>
      <c r="I2052" t="str">
        <f>"60603"</f>
        <v>60603</v>
      </c>
      <c r="J2052" t="s">
        <v>22</v>
      </c>
      <c r="K2052" t="s">
        <v>30</v>
      </c>
      <c r="L2052" s="2">
        <v>1556805</v>
      </c>
      <c r="M2052" s="2">
        <v>575174</v>
      </c>
      <c r="N2052" s="2">
        <v>0</v>
      </c>
      <c r="O2052" s="2">
        <v>84461</v>
      </c>
      <c r="P2052" t="s">
        <v>24</v>
      </c>
      <c r="Q2052" t="s">
        <v>24</v>
      </c>
    </row>
    <row r="2053" spans="1:17" x14ac:dyDescent="0.25">
      <c r="A2053" t="s">
        <v>3865</v>
      </c>
      <c r="B2053" t="s">
        <v>3866</v>
      </c>
      <c r="E2053" t="s">
        <v>3867</v>
      </c>
      <c r="G2053" t="s">
        <v>3868</v>
      </c>
      <c r="H2053" t="s">
        <v>62</v>
      </c>
      <c r="I2053" t="str">
        <f>"44131"</f>
        <v>44131</v>
      </c>
      <c r="J2053" t="s">
        <v>22</v>
      </c>
      <c r="K2053" t="s">
        <v>23</v>
      </c>
      <c r="L2053" s="2">
        <v>1552502</v>
      </c>
      <c r="M2053" s="2">
        <v>115784</v>
      </c>
      <c r="N2053" s="2">
        <v>0</v>
      </c>
      <c r="O2053" t="s">
        <v>24</v>
      </c>
      <c r="P2053" t="s">
        <v>24</v>
      </c>
      <c r="Q2053" t="s">
        <v>24</v>
      </c>
    </row>
    <row r="2054" spans="1:17" x14ac:dyDescent="0.25">
      <c r="A2054" t="s">
        <v>6831</v>
      </c>
      <c r="B2054" t="s">
        <v>6832</v>
      </c>
      <c r="C2054" s="1">
        <v>41091</v>
      </c>
      <c r="D2054" s="1">
        <v>41455</v>
      </c>
      <c r="E2054" t="s">
        <v>6833</v>
      </c>
      <c r="G2054" t="s">
        <v>20</v>
      </c>
      <c r="H2054" t="s">
        <v>21</v>
      </c>
      <c r="I2054" t="str">
        <f>"46204"</f>
        <v>46204</v>
      </c>
      <c r="J2054" t="s">
        <v>63</v>
      </c>
      <c r="K2054" t="s">
        <v>79</v>
      </c>
      <c r="L2054" s="2">
        <v>1550185</v>
      </c>
      <c r="M2054" s="2">
        <v>459255</v>
      </c>
      <c r="N2054" s="2">
        <v>154940</v>
      </c>
      <c r="O2054" s="2">
        <v>493067</v>
      </c>
      <c r="P2054" s="2">
        <v>19855</v>
      </c>
      <c r="Q2054" s="2">
        <v>2281</v>
      </c>
    </row>
    <row r="2055" spans="1:17" x14ac:dyDescent="0.25">
      <c r="A2055" t="s">
        <v>921</v>
      </c>
      <c r="B2055" t="s">
        <v>922</v>
      </c>
      <c r="C2055" s="1">
        <v>40909</v>
      </c>
      <c r="D2055" s="1">
        <v>41274</v>
      </c>
      <c r="E2055" t="s">
        <v>923</v>
      </c>
      <c r="G2055" t="s">
        <v>865</v>
      </c>
      <c r="H2055" t="s">
        <v>29</v>
      </c>
      <c r="I2055" t="str">
        <f>"60035"</f>
        <v>60035</v>
      </c>
      <c r="J2055" t="s">
        <v>22</v>
      </c>
      <c r="K2055" t="s">
        <v>30</v>
      </c>
      <c r="L2055" s="2">
        <v>1548662</v>
      </c>
      <c r="M2055" s="2">
        <v>69815</v>
      </c>
      <c r="N2055" s="2">
        <v>84134</v>
      </c>
      <c r="O2055" s="2">
        <v>116066</v>
      </c>
      <c r="P2055" t="s">
        <v>24</v>
      </c>
      <c r="Q2055" t="s">
        <v>24</v>
      </c>
    </row>
    <row r="2056" spans="1:17" x14ac:dyDescent="0.25">
      <c r="A2056" t="s">
        <v>3642</v>
      </c>
      <c r="B2056" t="s">
        <v>3643</v>
      </c>
      <c r="C2056" s="1">
        <v>40909</v>
      </c>
      <c r="D2056" s="1">
        <v>41274</v>
      </c>
      <c r="E2056" t="s">
        <v>3644</v>
      </c>
      <c r="G2056" t="s">
        <v>3645</v>
      </c>
      <c r="H2056" t="s">
        <v>42</v>
      </c>
      <c r="I2056" t="str">
        <f>"53029"</f>
        <v>53029</v>
      </c>
      <c r="J2056" t="s">
        <v>22</v>
      </c>
      <c r="K2056" t="s">
        <v>23</v>
      </c>
      <c r="L2056" s="2">
        <v>1548394</v>
      </c>
      <c r="M2056" s="2">
        <v>260961</v>
      </c>
      <c r="N2056" s="2">
        <v>0</v>
      </c>
      <c r="O2056" s="2">
        <v>175664</v>
      </c>
      <c r="P2056" t="s">
        <v>24</v>
      </c>
      <c r="Q2056" t="s">
        <v>24</v>
      </c>
    </row>
    <row r="2057" spans="1:17" x14ac:dyDescent="0.25">
      <c r="A2057" t="s">
        <v>1091</v>
      </c>
      <c r="B2057" t="s">
        <v>1092</v>
      </c>
      <c r="C2057" s="1">
        <v>41275</v>
      </c>
      <c r="D2057" s="1">
        <v>41639</v>
      </c>
      <c r="E2057" t="s">
        <v>1093</v>
      </c>
      <c r="G2057" t="s">
        <v>28</v>
      </c>
      <c r="H2057" t="s">
        <v>29</v>
      </c>
      <c r="I2057" t="str">
        <f>"60654"</f>
        <v>60654</v>
      </c>
      <c r="J2057" t="s">
        <v>22</v>
      </c>
      <c r="K2057" t="s">
        <v>30</v>
      </c>
      <c r="L2057" s="2">
        <v>1548008</v>
      </c>
      <c r="M2057" s="2">
        <v>320125</v>
      </c>
      <c r="N2057" s="2">
        <v>249809</v>
      </c>
      <c r="O2057" s="2">
        <v>285678</v>
      </c>
      <c r="P2057" t="s">
        <v>24</v>
      </c>
      <c r="Q2057" t="s">
        <v>24</v>
      </c>
    </row>
    <row r="2058" spans="1:17" x14ac:dyDescent="0.25">
      <c r="A2058" t="s">
        <v>1709</v>
      </c>
      <c r="B2058" t="s">
        <v>1710</v>
      </c>
      <c r="C2058" s="1">
        <v>41395</v>
      </c>
      <c r="D2058" s="1">
        <v>41759</v>
      </c>
      <c r="E2058" t="s">
        <v>1711</v>
      </c>
      <c r="G2058" t="s">
        <v>324</v>
      </c>
      <c r="H2058" t="s">
        <v>62</v>
      </c>
      <c r="I2058" t="str">
        <f>"44857"</f>
        <v>44857</v>
      </c>
      <c r="J2058" t="s">
        <v>22</v>
      </c>
      <c r="K2058" t="s">
        <v>23</v>
      </c>
      <c r="L2058" s="2">
        <v>1547891</v>
      </c>
      <c r="M2058" s="2">
        <v>569999</v>
      </c>
      <c r="N2058" s="2">
        <v>0</v>
      </c>
      <c r="O2058" s="2">
        <v>98239</v>
      </c>
      <c r="P2058" t="s">
        <v>24</v>
      </c>
      <c r="Q2058" t="s">
        <v>24</v>
      </c>
    </row>
    <row r="2059" spans="1:17" x14ac:dyDescent="0.25">
      <c r="A2059" t="s">
        <v>38</v>
      </c>
      <c r="B2059" t="s">
        <v>39</v>
      </c>
      <c r="C2059" s="1">
        <v>41548</v>
      </c>
      <c r="D2059" s="1">
        <v>41912</v>
      </c>
      <c r="E2059" t="s">
        <v>40</v>
      </c>
      <c r="G2059" t="s">
        <v>41</v>
      </c>
      <c r="H2059" t="s">
        <v>42</v>
      </c>
      <c r="I2059" t="str">
        <f>"53201"</f>
        <v>53201</v>
      </c>
      <c r="J2059" t="s">
        <v>22</v>
      </c>
      <c r="K2059" t="s">
        <v>23</v>
      </c>
      <c r="L2059" s="2">
        <v>1546286</v>
      </c>
      <c r="M2059" s="2">
        <v>977619</v>
      </c>
      <c r="N2059" s="2">
        <v>0</v>
      </c>
      <c r="O2059" s="2">
        <v>109312</v>
      </c>
      <c r="P2059" t="s">
        <v>24</v>
      </c>
      <c r="Q2059" t="s">
        <v>24</v>
      </c>
    </row>
    <row r="2060" spans="1:17" x14ac:dyDescent="0.25">
      <c r="A2060" t="s">
        <v>5906</v>
      </c>
      <c r="B2060" t="s">
        <v>5907</v>
      </c>
      <c r="C2060" s="1">
        <v>41275</v>
      </c>
      <c r="D2060" s="1">
        <v>41639</v>
      </c>
      <c r="E2060" t="s">
        <v>3338</v>
      </c>
      <c r="G2060" t="s">
        <v>28</v>
      </c>
      <c r="H2060" t="s">
        <v>29</v>
      </c>
      <c r="I2060" t="str">
        <f>"60603"</f>
        <v>60603</v>
      </c>
      <c r="J2060" t="s">
        <v>22</v>
      </c>
      <c r="K2060" t="s">
        <v>23</v>
      </c>
      <c r="L2060" s="2">
        <v>1544160</v>
      </c>
      <c r="M2060" s="2">
        <v>386613</v>
      </c>
      <c r="N2060" s="2">
        <v>0</v>
      </c>
      <c r="O2060" s="2">
        <v>106185</v>
      </c>
      <c r="P2060" t="s">
        <v>24</v>
      </c>
      <c r="Q2060" t="s">
        <v>24</v>
      </c>
    </row>
    <row r="2061" spans="1:17" x14ac:dyDescent="0.25">
      <c r="A2061" t="s">
        <v>2033</v>
      </c>
      <c r="B2061" t="s">
        <v>2034</v>
      </c>
      <c r="C2061" s="1">
        <v>41275</v>
      </c>
      <c r="D2061" s="1">
        <v>41639</v>
      </c>
      <c r="E2061" t="s">
        <v>2035</v>
      </c>
      <c r="G2061" t="s">
        <v>2036</v>
      </c>
      <c r="H2061" t="s">
        <v>42</v>
      </c>
      <c r="I2061" t="str">
        <f>"54729"</f>
        <v>54729</v>
      </c>
      <c r="J2061" t="s">
        <v>63</v>
      </c>
      <c r="K2061" t="s">
        <v>23</v>
      </c>
      <c r="L2061" s="2">
        <v>1543643</v>
      </c>
      <c r="M2061" s="2">
        <v>282647</v>
      </c>
      <c r="N2061" s="2">
        <v>0</v>
      </c>
      <c r="O2061" s="2">
        <v>207807</v>
      </c>
      <c r="P2061" s="2">
        <v>27268</v>
      </c>
      <c r="Q2061" s="2">
        <v>0</v>
      </c>
    </row>
    <row r="2062" spans="1:17" x14ac:dyDescent="0.25">
      <c r="A2062" t="s">
        <v>2685</v>
      </c>
      <c r="B2062" t="s">
        <v>2686</v>
      </c>
      <c r="C2062" s="1">
        <v>41275</v>
      </c>
      <c r="D2062" s="1">
        <v>41639</v>
      </c>
      <c r="E2062" t="s">
        <v>1956</v>
      </c>
      <c r="G2062" t="s">
        <v>147</v>
      </c>
      <c r="H2062" t="s">
        <v>62</v>
      </c>
      <c r="I2062" t="str">
        <f>"44333"</f>
        <v>44333</v>
      </c>
      <c r="J2062" t="s">
        <v>22</v>
      </c>
      <c r="K2062" t="s">
        <v>23</v>
      </c>
      <c r="L2062" s="2">
        <v>1538811</v>
      </c>
      <c r="M2062" s="2">
        <v>293790</v>
      </c>
      <c r="N2062" s="2">
        <v>749</v>
      </c>
      <c r="O2062" s="2">
        <v>122368</v>
      </c>
      <c r="P2062" t="s">
        <v>24</v>
      </c>
      <c r="Q2062" t="s">
        <v>24</v>
      </c>
    </row>
    <row r="2063" spans="1:17" x14ac:dyDescent="0.25">
      <c r="A2063" t="s">
        <v>1032</v>
      </c>
      <c r="B2063" t="s">
        <v>1033</v>
      </c>
      <c r="C2063" s="1">
        <v>41275</v>
      </c>
      <c r="D2063" s="1">
        <v>41639</v>
      </c>
      <c r="E2063" t="s">
        <v>1034</v>
      </c>
      <c r="G2063" t="s">
        <v>1035</v>
      </c>
      <c r="H2063" t="s">
        <v>47</v>
      </c>
      <c r="I2063" t="str">
        <f>"49855"</f>
        <v>49855</v>
      </c>
      <c r="J2063" t="s">
        <v>22</v>
      </c>
      <c r="K2063" t="s">
        <v>23</v>
      </c>
      <c r="L2063" s="2">
        <v>1538654</v>
      </c>
      <c r="M2063" s="2">
        <v>405585</v>
      </c>
      <c r="N2063" s="2">
        <v>0</v>
      </c>
      <c r="O2063" s="2">
        <v>79219</v>
      </c>
      <c r="P2063" t="s">
        <v>24</v>
      </c>
      <c r="Q2063" t="s">
        <v>24</v>
      </c>
    </row>
    <row r="2064" spans="1:17" x14ac:dyDescent="0.25">
      <c r="A2064" t="s">
        <v>2621</v>
      </c>
      <c r="B2064" t="s">
        <v>2622</v>
      </c>
      <c r="C2064" s="1">
        <v>41275</v>
      </c>
      <c r="D2064" s="1">
        <v>41639</v>
      </c>
      <c r="E2064" t="s">
        <v>2297</v>
      </c>
      <c r="G2064" t="s">
        <v>364</v>
      </c>
      <c r="H2064" t="s">
        <v>21</v>
      </c>
      <c r="I2064" t="str">
        <f>"47702"</f>
        <v>47702</v>
      </c>
      <c r="J2064" t="s">
        <v>22</v>
      </c>
      <c r="K2064" t="s">
        <v>23</v>
      </c>
      <c r="L2064" s="2">
        <v>1536940</v>
      </c>
      <c r="M2064" s="2">
        <v>287428</v>
      </c>
      <c r="N2064" s="2">
        <v>0</v>
      </c>
      <c r="O2064" s="2">
        <v>93037</v>
      </c>
      <c r="P2064" t="s">
        <v>24</v>
      </c>
      <c r="Q2064" t="s">
        <v>24</v>
      </c>
    </row>
    <row r="2065" spans="1:17" x14ac:dyDescent="0.25">
      <c r="A2065" t="s">
        <v>2893</v>
      </c>
      <c r="B2065" t="s">
        <v>2894</v>
      </c>
      <c r="C2065" s="1">
        <v>41153</v>
      </c>
      <c r="D2065" s="1">
        <v>41517</v>
      </c>
      <c r="E2065" t="s">
        <v>2895</v>
      </c>
      <c r="G2065" t="s">
        <v>357</v>
      </c>
      <c r="H2065" t="s">
        <v>21</v>
      </c>
      <c r="I2065" t="str">
        <f>"46814"</f>
        <v>46814</v>
      </c>
      <c r="J2065" t="s">
        <v>22</v>
      </c>
      <c r="K2065" t="s">
        <v>23</v>
      </c>
      <c r="L2065" s="2">
        <v>1536182</v>
      </c>
      <c r="M2065" s="2">
        <v>144921</v>
      </c>
      <c r="N2065" s="2">
        <v>0</v>
      </c>
      <c r="O2065" s="2">
        <v>80499</v>
      </c>
      <c r="P2065" t="s">
        <v>24</v>
      </c>
      <c r="Q2065" t="s">
        <v>24</v>
      </c>
    </row>
    <row r="2066" spans="1:17" x14ac:dyDescent="0.25">
      <c r="A2066" t="s">
        <v>3304</v>
      </c>
      <c r="B2066" t="s">
        <v>3305</v>
      </c>
      <c r="C2066" s="1">
        <v>41120</v>
      </c>
      <c r="D2066" s="1">
        <v>41455</v>
      </c>
      <c r="E2066" t="s">
        <v>3306</v>
      </c>
      <c r="G2066" t="s">
        <v>371</v>
      </c>
      <c r="H2066" t="s">
        <v>29</v>
      </c>
      <c r="I2066" t="str">
        <f>"60062"</f>
        <v>60062</v>
      </c>
      <c r="J2066" t="s">
        <v>63</v>
      </c>
      <c r="K2066" t="s">
        <v>79</v>
      </c>
      <c r="L2066" s="2">
        <v>1535911</v>
      </c>
      <c r="M2066" s="2">
        <v>5108301</v>
      </c>
      <c r="N2066" s="2">
        <v>1995420</v>
      </c>
      <c r="O2066" s="2">
        <v>5567810</v>
      </c>
      <c r="P2066" s="2">
        <v>910942</v>
      </c>
      <c r="Q2066" s="2">
        <v>86936</v>
      </c>
    </row>
    <row r="2067" spans="1:17" x14ac:dyDescent="0.25">
      <c r="A2067" t="s">
        <v>433</v>
      </c>
      <c r="B2067" t="s">
        <v>434</v>
      </c>
      <c r="C2067" s="1">
        <v>41275</v>
      </c>
      <c r="D2067" s="1">
        <v>41639</v>
      </c>
      <c r="E2067" t="s">
        <v>435</v>
      </c>
      <c r="G2067" t="s">
        <v>113</v>
      </c>
      <c r="H2067" t="s">
        <v>42</v>
      </c>
      <c r="I2067" t="str">
        <f>"53188"</f>
        <v>53188</v>
      </c>
      <c r="J2067" t="s">
        <v>22</v>
      </c>
      <c r="K2067" t="s">
        <v>30</v>
      </c>
      <c r="L2067" s="2">
        <v>1534667</v>
      </c>
      <c r="M2067" s="2">
        <v>1030491</v>
      </c>
      <c r="N2067" s="2">
        <v>0</v>
      </c>
      <c r="O2067" s="2">
        <v>56214</v>
      </c>
      <c r="P2067" t="s">
        <v>24</v>
      </c>
      <c r="Q2067" t="s">
        <v>24</v>
      </c>
    </row>
    <row r="2068" spans="1:17" x14ac:dyDescent="0.25">
      <c r="A2068" t="s">
        <v>2843</v>
      </c>
      <c r="B2068" t="s">
        <v>2844</v>
      </c>
      <c r="C2068" s="1">
        <v>41275</v>
      </c>
      <c r="D2068" s="1">
        <v>41639</v>
      </c>
      <c r="E2068" t="s">
        <v>2845</v>
      </c>
      <c r="G2068" t="s">
        <v>2846</v>
      </c>
      <c r="H2068" t="s">
        <v>29</v>
      </c>
      <c r="I2068" t="str">
        <f>"62226"</f>
        <v>62226</v>
      </c>
      <c r="J2068" t="s">
        <v>22</v>
      </c>
      <c r="K2068" t="s">
        <v>23</v>
      </c>
      <c r="L2068" s="2">
        <v>1533931</v>
      </c>
      <c r="M2068" s="2">
        <v>760676</v>
      </c>
      <c r="N2068" s="2">
        <v>0</v>
      </c>
      <c r="O2068" s="2">
        <v>83181</v>
      </c>
      <c r="P2068" t="s">
        <v>24</v>
      </c>
      <c r="Q2068" t="s">
        <v>24</v>
      </c>
    </row>
    <row r="2069" spans="1:17" x14ac:dyDescent="0.25">
      <c r="A2069" t="s">
        <v>2046</v>
      </c>
      <c r="B2069" t="s">
        <v>2047</v>
      </c>
      <c r="C2069" s="1">
        <v>41275</v>
      </c>
      <c r="D2069" s="1">
        <v>41639</v>
      </c>
      <c r="E2069" t="s">
        <v>556</v>
      </c>
      <c r="G2069" t="s">
        <v>167</v>
      </c>
      <c r="H2069" t="s">
        <v>62</v>
      </c>
      <c r="I2069" t="str">
        <f>"45201"</f>
        <v>45201</v>
      </c>
      <c r="J2069" t="s">
        <v>22</v>
      </c>
      <c r="K2069" t="s">
        <v>23</v>
      </c>
      <c r="L2069" s="2">
        <v>1529683</v>
      </c>
      <c r="M2069" s="2">
        <v>268594</v>
      </c>
      <c r="N2069" s="2">
        <v>0</v>
      </c>
      <c r="O2069" s="2">
        <v>137807</v>
      </c>
      <c r="P2069" t="s">
        <v>24</v>
      </c>
      <c r="Q2069" t="s">
        <v>24</v>
      </c>
    </row>
    <row r="2070" spans="1:17" x14ac:dyDescent="0.25">
      <c r="A2070" t="s">
        <v>3746</v>
      </c>
      <c r="B2070" t="s">
        <v>3747</v>
      </c>
      <c r="C2070" s="1">
        <v>41275</v>
      </c>
      <c r="D2070" s="1">
        <v>41639</v>
      </c>
      <c r="E2070" t="s">
        <v>3748</v>
      </c>
      <c r="G2070" t="s">
        <v>1010</v>
      </c>
      <c r="H2070" t="s">
        <v>47</v>
      </c>
      <c r="I2070" t="str">
        <f>"49686"</f>
        <v>49686</v>
      </c>
      <c r="J2070" t="s">
        <v>22</v>
      </c>
      <c r="K2070" t="s">
        <v>23</v>
      </c>
      <c r="L2070" s="2">
        <v>1528916</v>
      </c>
      <c r="M2070" s="2">
        <v>85399</v>
      </c>
      <c r="N2070" s="2">
        <v>0</v>
      </c>
      <c r="O2070" s="2">
        <v>52420</v>
      </c>
      <c r="P2070" t="s">
        <v>24</v>
      </c>
      <c r="Q2070" t="s">
        <v>24</v>
      </c>
    </row>
    <row r="2071" spans="1:17" x14ac:dyDescent="0.25">
      <c r="A2071" t="s">
        <v>3030</v>
      </c>
      <c r="B2071" t="s">
        <v>3031</v>
      </c>
      <c r="C2071" s="1">
        <v>41275</v>
      </c>
      <c r="D2071" s="1">
        <v>41639</v>
      </c>
      <c r="E2071" t="s">
        <v>3032</v>
      </c>
      <c r="G2071" t="s">
        <v>167</v>
      </c>
      <c r="H2071" t="s">
        <v>62</v>
      </c>
      <c r="I2071" t="str">
        <f>"45244"</f>
        <v>45244</v>
      </c>
      <c r="J2071" t="s">
        <v>22</v>
      </c>
      <c r="K2071" t="s">
        <v>91</v>
      </c>
      <c r="L2071" s="2">
        <v>1527726</v>
      </c>
      <c r="M2071" s="2">
        <v>290964</v>
      </c>
      <c r="N2071" s="2">
        <v>25000</v>
      </c>
      <c r="O2071" s="2">
        <v>108801</v>
      </c>
      <c r="P2071" t="s">
        <v>24</v>
      </c>
      <c r="Q2071" t="s">
        <v>24</v>
      </c>
    </row>
    <row r="2072" spans="1:17" x14ac:dyDescent="0.25">
      <c r="A2072" t="s">
        <v>6186</v>
      </c>
      <c r="B2072" t="s">
        <v>6187</v>
      </c>
      <c r="C2072" s="1">
        <v>41275</v>
      </c>
      <c r="D2072" s="1">
        <v>41639</v>
      </c>
      <c r="E2072" t="s">
        <v>6188</v>
      </c>
      <c r="G2072" t="s">
        <v>176</v>
      </c>
      <c r="H2072" t="s">
        <v>47</v>
      </c>
      <c r="I2072" t="str">
        <f>"48439"</f>
        <v>48439</v>
      </c>
      <c r="J2072" t="s">
        <v>22</v>
      </c>
      <c r="K2072" t="s">
        <v>30</v>
      </c>
      <c r="L2072" s="2">
        <v>1527475</v>
      </c>
      <c r="M2072" s="2">
        <v>334943</v>
      </c>
      <c r="N2072" s="2">
        <v>0</v>
      </c>
      <c r="O2072" s="2">
        <v>89002</v>
      </c>
      <c r="P2072" t="s">
        <v>24</v>
      </c>
      <c r="Q2072" t="s">
        <v>24</v>
      </c>
    </row>
    <row r="2073" spans="1:17" x14ac:dyDescent="0.25">
      <c r="A2073" t="s">
        <v>5878</v>
      </c>
      <c r="B2073" t="s">
        <v>5879</v>
      </c>
      <c r="C2073" s="1">
        <v>40909</v>
      </c>
      <c r="D2073" s="1">
        <v>41274</v>
      </c>
      <c r="E2073" t="s">
        <v>5880</v>
      </c>
      <c r="G2073" t="s">
        <v>5881</v>
      </c>
      <c r="H2073" t="s">
        <v>29</v>
      </c>
      <c r="I2073" t="str">
        <f>"60638"</f>
        <v>60638</v>
      </c>
      <c r="J2073" t="s">
        <v>22</v>
      </c>
      <c r="K2073" t="s">
        <v>30</v>
      </c>
      <c r="L2073" s="2">
        <v>1527176</v>
      </c>
      <c r="M2073" s="2">
        <v>345745</v>
      </c>
      <c r="N2073" s="2">
        <v>0</v>
      </c>
      <c r="O2073" s="2">
        <v>126018</v>
      </c>
      <c r="P2073" t="s">
        <v>24</v>
      </c>
      <c r="Q2073" t="s">
        <v>24</v>
      </c>
    </row>
    <row r="2074" spans="1:17" x14ac:dyDescent="0.25">
      <c r="A2074" t="s">
        <v>1409</v>
      </c>
      <c r="B2074" t="s">
        <v>1410</v>
      </c>
      <c r="C2074" s="1">
        <v>41275</v>
      </c>
      <c r="D2074" s="1">
        <v>41639</v>
      </c>
      <c r="E2074" t="s">
        <v>1411</v>
      </c>
      <c r="G2074" t="s">
        <v>167</v>
      </c>
      <c r="H2074" t="s">
        <v>62</v>
      </c>
      <c r="I2074" t="str">
        <f>"45202"</f>
        <v>45202</v>
      </c>
      <c r="J2074" t="s">
        <v>22</v>
      </c>
      <c r="K2074" t="s">
        <v>23</v>
      </c>
      <c r="L2074" s="2">
        <v>1526557</v>
      </c>
      <c r="M2074" s="2">
        <v>217155</v>
      </c>
      <c r="N2074" s="2">
        <v>0</v>
      </c>
      <c r="O2074" s="2">
        <v>96927</v>
      </c>
      <c r="P2074" t="s">
        <v>24</v>
      </c>
      <c r="Q2074" t="s">
        <v>24</v>
      </c>
    </row>
    <row r="2075" spans="1:17" x14ac:dyDescent="0.25">
      <c r="A2075" t="s">
        <v>3986</v>
      </c>
      <c r="B2075" t="s">
        <v>3987</v>
      </c>
      <c r="C2075" s="1">
        <v>41275</v>
      </c>
      <c r="D2075" s="1">
        <v>41639</v>
      </c>
      <c r="E2075" t="s">
        <v>3988</v>
      </c>
      <c r="G2075" t="s">
        <v>531</v>
      </c>
      <c r="H2075" t="s">
        <v>62</v>
      </c>
      <c r="I2075" t="str">
        <f>"44122"</f>
        <v>44122</v>
      </c>
      <c r="J2075" t="s">
        <v>22</v>
      </c>
      <c r="K2075" t="s">
        <v>23</v>
      </c>
      <c r="L2075" s="2">
        <v>1524499</v>
      </c>
      <c r="M2075" s="2">
        <v>1108617</v>
      </c>
      <c r="N2075" s="2">
        <v>0</v>
      </c>
      <c r="O2075" s="2">
        <v>173310</v>
      </c>
      <c r="P2075" t="s">
        <v>24</v>
      </c>
      <c r="Q2075" t="s">
        <v>24</v>
      </c>
    </row>
    <row r="2076" spans="1:17" x14ac:dyDescent="0.25">
      <c r="A2076" t="s">
        <v>4201</v>
      </c>
      <c r="B2076" t="s">
        <v>4202</v>
      </c>
      <c r="C2076" s="1">
        <v>41518</v>
      </c>
      <c r="D2076" s="1">
        <v>41882</v>
      </c>
      <c r="E2076" t="s">
        <v>4203</v>
      </c>
      <c r="G2076" t="s">
        <v>1054</v>
      </c>
      <c r="H2076" t="s">
        <v>47</v>
      </c>
      <c r="I2076" t="str">
        <f>"48323"</f>
        <v>48323</v>
      </c>
      <c r="J2076" t="s">
        <v>22</v>
      </c>
      <c r="K2076" t="s">
        <v>30</v>
      </c>
      <c r="L2076" s="2">
        <v>1522696</v>
      </c>
      <c r="M2076" s="2">
        <v>1462925</v>
      </c>
      <c r="N2076" s="2">
        <v>3700</v>
      </c>
      <c r="O2076" s="2">
        <v>25147</v>
      </c>
      <c r="P2076" t="s">
        <v>24</v>
      </c>
      <c r="Q2076" t="s">
        <v>24</v>
      </c>
    </row>
    <row r="2077" spans="1:17" x14ac:dyDescent="0.25">
      <c r="A2077" t="s">
        <v>1908</v>
      </c>
      <c r="B2077" t="s">
        <v>1909</v>
      </c>
      <c r="C2077" s="1">
        <v>41275</v>
      </c>
      <c r="D2077" s="1">
        <v>41639</v>
      </c>
      <c r="E2077" t="s">
        <v>1910</v>
      </c>
      <c r="G2077" t="s">
        <v>865</v>
      </c>
      <c r="H2077" t="s">
        <v>29</v>
      </c>
      <c r="I2077" t="str">
        <f>"60035"</f>
        <v>60035</v>
      </c>
      <c r="J2077" t="s">
        <v>22</v>
      </c>
      <c r="K2077" t="s">
        <v>23</v>
      </c>
      <c r="L2077" s="2">
        <v>1521307</v>
      </c>
      <c r="M2077" s="2">
        <v>567121</v>
      </c>
      <c r="N2077" s="2">
        <v>0</v>
      </c>
      <c r="O2077" s="2">
        <v>200033</v>
      </c>
      <c r="P2077" t="s">
        <v>24</v>
      </c>
      <c r="Q2077" t="s">
        <v>24</v>
      </c>
    </row>
    <row r="2078" spans="1:17" x14ac:dyDescent="0.25">
      <c r="A2078" t="s">
        <v>3231</v>
      </c>
      <c r="B2078" t="s">
        <v>3232</v>
      </c>
      <c r="C2078" s="1">
        <v>41275</v>
      </c>
      <c r="D2078" s="1">
        <v>41639</v>
      </c>
      <c r="E2078" t="s">
        <v>3233</v>
      </c>
      <c r="G2078" t="s">
        <v>3234</v>
      </c>
      <c r="H2078" t="s">
        <v>29</v>
      </c>
      <c r="I2078" t="str">
        <f>"62837"</f>
        <v>62837</v>
      </c>
      <c r="J2078" t="s">
        <v>22</v>
      </c>
      <c r="K2078" t="s">
        <v>23</v>
      </c>
      <c r="L2078" s="2">
        <v>1519322</v>
      </c>
      <c r="M2078" s="2">
        <v>35965</v>
      </c>
      <c r="N2078" s="2">
        <v>0</v>
      </c>
      <c r="O2078" s="2">
        <v>71732</v>
      </c>
      <c r="P2078" t="s">
        <v>24</v>
      </c>
      <c r="Q2078" t="s">
        <v>24</v>
      </c>
    </row>
    <row r="2079" spans="1:17" x14ac:dyDescent="0.25">
      <c r="A2079" t="s">
        <v>5256</v>
      </c>
      <c r="B2079" t="s">
        <v>5257</v>
      </c>
      <c r="C2079" s="1">
        <v>41275</v>
      </c>
      <c r="D2079" s="1">
        <v>41639</v>
      </c>
      <c r="E2079" t="s">
        <v>142</v>
      </c>
      <c r="G2079" t="s">
        <v>143</v>
      </c>
      <c r="H2079" t="s">
        <v>47</v>
      </c>
      <c r="I2079" t="str">
        <f>"48275"</f>
        <v>48275</v>
      </c>
      <c r="J2079" t="s">
        <v>22</v>
      </c>
      <c r="K2079" t="s">
        <v>23</v>
      </c>
      <c r="L2079" s="2">
        <v>1518650</v>
      </c>
      <c r="M2079" s="2">
        <v>1459209</v>
      </c>
      <c r="N2079" s="2">
        <v>0</v>
      </c>
      <c r="O2079" s="2">
        <v>104720</v>
      </c>
      <c r="P2079" t="s">
        <v>24</v>
      </c>
      <c r="Q2079" t="s">
        <v>24</v>
      </c>
    </row>
    <row r="2080" spans="1:17" x14ac:dyDescent="0.25">
      <c r="A2080" t="s">
        <v>3144</v>
      </c>
      <c r="B2080" t="s">
        <v>3145</v>
      </c>
      <c r="C2080" s="1">
        <v>41275</v>
      </c>
      <c r="D2080" s="1">
        <v>41639</v>
      </c>
      <c r="E2080" t="s">
        <v>50</v>
      </c>
      <c r="G2080" t="s">
        <v>28</v>
      </c>
      <c r="H2080" t="s">
        <v>29</v>
      </c>
      <c r="I2080" t="str">
        <f>"60603"</f>
        <v>60603</v>
      </c>
      <c r="J2080" t="s">
        <v>22</v>
      </c>
      <c r="K2080" t="s">
        <v>30</v>
      </c>
      <c r="L2080" s="2">
        <v>1516944</v>
      </c>
      <c r="M2080" s="2">
        <v>163615</v>
      </c>
      <c r="N2080" s="2">
        <v>0</v>
      </c>
      <c r="O2080" s="2">
        <v>59110</v>
      </c>
      <c r="P2080" t="s">
        <v>24</v>
      </c>
      <c r="Q2080" t="s">
        <v>24</v>
      </c>
    </row>
    <row r="2081" spans="1:17" x14ac:dyDescent="0.25">
      <c r="A2081" t="s">
        <v>2461</v>
      </c>
      <c r="B2081" t="s">
        <v>2462</v>
      </c>
      <c r="C2081" s="1">
        <v>41275</v>
      </c>
      <c r="D2081" s="1">
        <v>41639</v>
      </c>
      <c r="E2081" t="s">
        <v>2463</v>
      </c>
      <c r="G2081" t="s">
        <v>2428</v>
      </c>
      <c r="H2081" t="s">
        <v>78</v>
      </c>
      <c r="I2081" t="str">
        <f>"40059"</f>
        <v>40059</v>
      </c>
      <c r="J2081" t="s">
        <v>22</v>
      </c>
      <c r="K2081" t="s">
        <v>30</v>
      </c>
      <c r="L2081" s="2">
        <v>1515019</v>
      </c>
      <c r="M2081" s="2">
        <v>621308</v>
      </c>
      <c r="N2081" s="2">
        <v>0</v>
      </c>
      <c r="O2081" s="2">
        <v>89896</v>
      </c>
      <c r="P2081" t="s">
        <v>24</v>
      </c>
      <c r="Q2081" t="s">
        <v>24</v>
      </c>
    </row>
    <row r="2082" spans="1:17" x14ac:dyDescent="0.25">
      <c r="A2082" t="s">
        <v>3001</v>
      </c>
      <c r="B2082" t="s">
        <v>3002</v>
      </c>
      <c r="C2082" s="1">
        <v>41275</v>
      </c>
      <c r="D2082" s="1">
        <v>41639</v>
      </c>
      <c r="E2082" t="s">
        <v>3003</v>
      </c>
      <c r="G2082" t="s">
        <v>1339</v>
      </c>
      <c r="H2082" t="s">
        <v>47</v>
      </c>
      <c r="I2082" t="str">
        <f>"48084"</f>
        <v>48084</v>
      </c>
      <c r="J2082" t="s">
        <v>22</v>
      </c>
      <c r="K2082" t="s">
        <v>23</v>
      </c>
      <c r="L2082" s="2">
        <v>1514364</v>
      </c>
      <c r="M2082" s="2">
        <v>15393</v>
      </c>
      <c r="N2082" s="2">
        <v>216216</v>
      </c>
      <c r="O2082" s="2">
        <v>43929</v>
      </c>
      <c r="P2082" t="s">
        <v>24</v>
      </c>
      <c r="Q2082" t="s">
        <v>24</v>
      </c>
    </row>
    <row r="2083" spans="1:17" x14ac:dyDescent="0.25">
      <c r="A2083" t="s">
        <v>5239</v>
      </c>
      <c r="B2083" t="s">
        <v>5240</v>
      </c>
      <c r="C2083" s="1">
        <v>41275</v>
      </c>
      <c r="D2083" s="1">
        <v>41639</v>
      </c>
      <c r="E2083" t="s">
        <v>5241</v>
      </c>
      <c r="G2083" t="s">
        <v>612</v>
      </c>
      <c r="H2083" t="s">
        <v>42</v>
      </c>
      <c r="I2083" t="str">
        <f>"53092"</f>
        <v>53092</v>
      </c>
      <c r="J2083" t="s">
        <v>22</v>
      </c>
      <c r="K2083" t="s">
        <v>23</v>
      </c>
      <c r="L2083" s="2">
        <v>1509344</v>
      </c>
      <c r="M2083" s="2">
        <v>2221726</v>
      </c>
      <c r="N2083" s="2">
        <v>0</v>
      </c>
      <c r="O2083" s="2">
        <v>36934</v>
      </c>
      <c r="P2083" t="s">
        <v>24</v>
      </c>
      <c r="Q2083" t="s">
        <v>24</v>
      </c>
    </row>
    <row r="2084" spans="1:17" x14ac:dyDescent="0.25">
      <c r="A2084" t="s">
        <v>1094</v>
      </c>
      <c r="B2084" t="s">
        <v>1095</v>
      </c>
      <c r="C2084" s="1">
        <v>41275</v>
      </c>
      <c r="D2084" s="1">
        <v>41639</v>
      </c>
      <c r="E2084" t="s">
        <v>1096</v>
      </c>
      <c r="G2084" t="s">
        <v>1097</v>
      </c>
      <c r="H2084" t="s">
        <v>47</v>
      </c>
      <c r="I2084" t="str">
        <f>"48161"</f>
        <v>48161</v>
      </c>
      <c r="J2084" t="s">
        <v>22</v>
      </c>
      <c r="K2084" t="s">
        <v>30</v>
      </c>
      <c r="L2084" s="2">
        <v>1508144</v>
      </c>
      <c r="M2084" s="2">
        <v>409292</v>
      </c>
      <c r="N2084" s="2">
        <v>0</v>
      </c>
      <c r="O2084" s="2">
        <v>183417</v>
      </c>
      <c r="P2084" t="s">
        <v>24</v>
      </c>
      <c r="Q2084" t="s">
        <v>24</v>
      </c>
    </row>
    <row r="2085" spans="1:17" x14ac:dyDescent="0.25">
      <c r="A2085" t="s">
        <v>5964</v>
      </c>
      <c r="B2085" t="s">
        <v>5965</v>
      </c>
      <c r="C2085" s="1">
        <v>40909</v>
      </c>
      <c r="D2085" s="1">
        <v>41274</v>
      </c>
      <c r="E2085" t="s">
        <v>142</v>
      </c>
      <c r="G2085" t="s">
        <v>143</v>
      </c>
      <c r="H2085" t="s">
        <v>47</v>
      </c>
      <c r="I2085" t="str">
        <f>"48275"</f>
        <v>48275</v>
      </c>
      <c r="J2085" t="s">
        <v>22</v>
      </c>
      <c r="K2085" t="s">
        <v>30</v>
      </c>
      <c r="L2085" s="2">
        <v>1506452</v>
      </c>
      <c r="M2085" s="2">
        <v>499684</v>
      </c>
      <c r="N2085" s="2">
        <v>0</v>
      </c>
      <c r="O2085" s="2">
        <v>88272</v>
      </c>
      <c r="P2085" t="s">
        <v>24</v>
      </c>
      <c r="Q2085" t="s">
        <v>24</v>
      </c>
    </row>
    <row r="2086" spans="1:17" x14ac:dyDescent="0.25">
      <c r="A2086" t="s">
        <v>6764</v>
      </c>
      <c r="B2086" t="s">
        <v>6765</v>
      </c>
      <c r="C2086" s="1">
        <v>40909</v>
      </c>
      <c r="D2086" s="1">
        <v>41274</v>
      </c>
      <c r="E2086" t="s">
        <v>6766</v>
      </c>
      <c r="G2086" t="s">
        <v>139</v>
      </c>
      <c r="H2086" t="s">
        <v>47</v>
      </c>
      <c r="I2086" t="str">
        <f>"49508"</f>
        <v>49508</v>
      </c>
      <c r="J2086" t="s">
        <v>22</v>
      </c>
      <c r="K2086" t="s">
        <v>30</v>
      </c>
      <c r="L2086" s="2">
        <v>1506130</v>
      </c>
      <c r="M2086" s="2">
        <v>1303012</v>
      </c>
      <c r="N2086" s="2">
        <v>0</v>
      </c>
      <c r="O2086" s="2">
        <v>106037</v>
      </c>
      <c r="P2086" t="s">
        <v>24</v>
      </c>
      <c r="Q2086" t="s">
        <v>24</v>
      </c>
    </row>
    <row r="2087" spans="1:17" x14ac:dyDescent="0.25">
      <c r="A2087" t="s">
        <v>2550</v>
      </c>
      <c r="B2087" t="s">
        <v>2551</v>
      </c>
      <c r="C2087" s="1">
        <v>41275</v>
      </c>
      <c r="D2087" s="1">
        <v>41639</v>
      </c>
      <c r="E2087" t="s">
        <v>2552</v>
      </c>
      <c r="F2087" t="s">
        <v>2553</v>
      </c>
      <c r="G2087" t="s">
        <v>41</v>
      </c>
      <c r="H2087" t="s">
        <v>42</v>
      </c>
      <c r="I2087" t="str">
        <f>"53214"</f>
        <v>53214</v>
      </c>
      <c r="J2087" t="s">
        <v>63</v>
      </c>
      <c r="K2087" t="s">
        <v>79</v>
      </c>
      <c r="L2087" s="2">
        <v>1505778</v>
      </c>
      <c r="M2087" s="2">
        <v>2261167</v>
      </c>
      <c r="N2087" s="2">
        <v>210691</v>
      </c>
      <c r="O2087" s="2">
        <v>2417643</v>
      </c>
      <c r="P2087" s="2">
        <v>116705</v>
      </c>
      <c r="Q2087" s="2">
        <v>16918</v>
      </c>
    </row>
    <row r="2088" spans="1:17" x14ac:dyDescent="0.25">
      <c r="A2088" t="s">
        <v>1497</v>
      </c>
      <c r="B2088" t="s">
        <v>1498</v>
      </c>
      <c r="C2088" s="1">
        <v>40909</v>
      </c>
      <c r="D2088" s="1">
        <v>41274</v>
      </c>
      <c r="E2088" t="s">
        <v>1499</v>
      </c>
      <c r="G2088" t="s">
        <v>604</v>
      </c>
      <c r="H2088" t="s">
        <v>42</v>
      </c>
      <c r="I2088" t="str">
        <f>"53562"</f>
        <v>53562</v>
      </c>
      <c r="J2088" t="s">
        <v>22</v>
      </c>
      <c r="K2088" t="s">
        <v>30</v>
      </c>
      <c r="L2088" s="2">
        <v>1502825</v>
      </c>
      <c r="M2088" s="2">
        <v>1333219</v>
      </c>
      <c r="N2088" s="2">
        <v>0</v>
      </c>
      <c r="O2088" s="2">
        <v>114784</v>
      </c>
      <c r="P2088" t="s">
        <v>24</v>
      </c>
      <c r="Q2088" t="s">
        <v>24</v>
      </c>
    </row>
    <row r="2089" spans="1:17" x14ac:dyDescent="0.25">
      <c r="A2089" t="s">
        <v>2100</v>
      </c>
      <c r="B2089" t="s">
        <v>2101</v>
      </c>
      <c r="C2089" s="1">
        <v>41275</v>
      </c>
      <c r="D2089" s="1">
        <v>41639</v>
      </c>
      <c r="E2089" t="s">
        <v>2102</v>
      </c>
      <c r="G2089" t="s">
        <v>2103</v>
      </c>
      <c r="H2089" t="s">
        <v>29</v>
      </c>
      <c r="I2089" t="str">
        <f>"60162"</f>
        <v>60162</v>
      </c>
      <c r="J2089" t="s">
        <v>22</v>
      </c>
      <c r="K2089" t="s">
        <v>23</v>
      </c>
      <c r="L2089" s="2">
        <v>1501506</v>
      </c>
      <c r="M2089" s="2">
        <v>1600007</v>
      </c>
      <c r="N2089" s="2">
        <v>0</v>
      </c>
      <c r="O2089" s="2">
        <v>199306</v>
      </c>
      <c r="P2089" t="s">
        <v>24</v>
      </c>
      <c r="Q2089" t="s">
        <v>24</v>
      </c>
    </row>
    <row r="2090" spans="1:17" x14ac:dyDescent="0.25">
      <c r="A2090" t="s">
        <v>3845</v>
      </c>
      <c r="B2090" t="s">
        <v>3846</v>
      </c>
      <c r="C2090" s="1">
        <v>41275</v>
      </c>
      <c r="D2090" s="1">
        <v>41639</v>
      </c>
      <c r="E2090" t="s">
        <v>40</v>
      </c>
      <c r="G2090" t="s">
        <v>41</v>
      </c>
      <c r="H2090" t="s">
        <v>42</v>
      </c>
      <c r="I2090" t="str">
        <f>"53201"</f>
        <v>53201</v>
      </c>
      <c r="J2090" t="s">
        <v>22</v>
      </c>
      <c r="K2090" t="s">
        <v>23</v>
      </c>
      <c r="L2090" s="2">
        <v>1500579</v>
      </c>
      <c r="M2090" s="2">
        <v>1289347</v>
      </c>
      <c r="N2090" s="2">
        <v>1644</v>
      </c>
      <c r="O2090" s="2">
        <v>90396</v>
      </c>
      <c r="P2090" t="s">
        <v>24</v>
      </c>
      <c r="Q2090" t="s">
        <v>24</v>
      </c>
    </row>
    <row r="2091" spans="1:17" x14ac:dyDescent="0.25">
      <c r="A2091" t="s">
        <v>6067</v>
      </c>
      <c r="B2091" t="s">
        <v>6068</v>
      </c>
      <c r="C2091" s="1">
        <v>41487</v>
      </c>
      <c r="D2091" s="1">
        <v>41851</v>
      </c>
      <c r="E2091" t="s">
        <v>104</v>
      </c>
      <c r="G2091" t="s">
        <v>28</v>
      </c>
      <c r="H2091" t="s">
        <v>29</v>
      </c>
      <c r="I2091" t="str">
        <f>"60680"</f>
        <v>60680</v>
      </c>
      <c r="J2091" t="s">
        <v>22</v>
      </c>
      <c r="K2091" t="s">
        <v>23</v>
      </c>
      <c r="L2091" s="2">
        <v>1499589</v>
      </c>
      <c r="M2091" s="2">
        <v>343985</v>
      </c>
      <c r="N2091" s="2">
        <v>0</v>
      </c>
      <c r="O2091" s="2">
        <v>156187</v>
      </c>
      <c r="P2091" t="s">
        <v>24</v>
      </c>
      <c r="Q2091" t="s">
        <v>24</v>
      </c>
    </row>
    <row r="2092" spans="1:17" x14ac:dyDescent="0.25">
      <c r="A2092" t="s">
        <v>3851</v>
      </c>
      <c r="B2092" t="s">
        <v>3852</v>
      </c>
      <c r="C2092" s="1">
        <v>41275</v>
      </c>
      <c r="D2092" s="1">
        <v>41639</v>
      </c>
      <c r="E2092" t="s">
        <v>40</v>
      </c>
      <c r="G2092" t="s">
        <v>41</v>
      </c>
      <c r="H2092" t="s">
        <v>42</v>
      </c>
      <c r="I2092" t="str">
        <f>"53201"</f>
        <v>53201</v>
      </c>
      <c r="J2092" t="s">
        <v>22</v>
      </c>
      <c r="K2092" t="s">
        <v>30</v>
      </c>
      <c r="L2092" s="2">
        <v>1497153</v>
      </c>
      <c r="M2092" s="2">
        <v>61096</v>
      </c>
      <c r="N2092" s="2">
        <v>0</v>
      </c>
      <c r="O2092" s="2">
        <v>52055</v>
      </c>
      <c r="P2092" t="s">
        <v>24</v>
      </c>
      <c r="Q2092" t="s">
        <v>24</v>
      </c>
    </row>
    <row r="2093" spans="1:17" x14ac:dyDescent="0.25">
      <c r="A2093" t="s">
        <v>5232</v>
      </c>
      <c r="B2093" t="s">
        <v>5233</v>
      </c>
      <c r="C2093" s="1">
        <v>41456</v>
      </c>
      <c r="D2093" s="1">
        <v>41820</v>
      </c>
      <c r="E2093" t="s">
        <v>5234</v>
      </c>
      <c r="G2093" t="s">
        <v>3105</v>
      </c>
      <c r="H2093" t="s">
        <v>42</v>
      </c>
      <c r="I2093" t="str">
        <f>"53190"</f>
        <v>53190</v>
      </c>
      <c r="J2093" t="s">
        <v>63</v>
      </c>
      <c r="K2093" t="s">
        <v>64</v>
      </c>
      <c r="L2093" s="2">
        <v>1497148</v>
      </c>
      <c r="M2093" s="2">
        <v>162841</v>
      </c>
      <c r="N2093" s="2">
        <v>0</v>
      </c>
      <c r="O2093" s="2">
        <v>357690</v>
      </c>
      <c r="P2093" s="2">
        <v>15619</v>
      </c>
      <c r="Q2093" s="2">
        <v>0</v>
      </c>
    </row>
    <row r="2094" spans="1:17" x14ac:dyDescent="0.25">
      <c r="A2094" t="s">
        <v>398</v>
      </c>
      <c r="B2094" t="s">
        <v>399</v>
      </c>
      <c r="C2094" s="1">
        <v>41275</v>
      </c>
      <c r="D2094" s="1">
        <v>41639</v>
      </c>
      <c r="E2094" t="s">
        <v>400</v>
      </c>
      <c r="G2094" t="s">
        <v>401</v>
      </c>
      <c r="H2094" t="s">
        <v>47</v>
      </c>
      <c r="I2094" t="str">
        <f>"48640"</f>
        <v>48640</v>
      </c>
      <c r="J2094" t="s">
        <v>22</v>
      </c>
      <c r="K2094" t="s">
        <v>23</v>
      </c>
      <c r="L2094" s="2">
        <v>1494666</v>
      </c>
      <c r="M2094" s="2">
        <v>194272</v>
      </c>
      <c r="N2094" s="2">
        <v>25157</v>
      </c>
      <c r="O2094" s="2">
        <v>59116</v>
      </c>
      <c r="P2094" t="s">
        <v>24</v>
      </c>
      <c r="Q2094" t="s">
        <v>24</v>
      </c>
    </row>
    <row r="2095" spans="1:17" x14ac:dyDescent="0.25">
      <c r="A2095" t="s">
        <v>672</v>
      </c>
      <c r="B2095" t="s">
        <v>673</v>
      </c>
      <c r="E2095" t="s">
        <v>674</v>
      </c>
      <c r="G2095" t="s">
        <v>675</v>
      </c>
      <c r="H2095" t="s">
        <v>42</v>
      </c>
      <c r="I2095" t="str">
        <f>"53066"</f>
        <v>53066</v>
      </c>
      <c r="J2095" t="s">
        <v>22</v>
      </c>
      <c r="K2095" t="s">
        <v>30</v>
      </c>
      <c r="L2095" s="2">
        <v>1493654</v>
      </c>
      <c r="M2095" s="2">
        <v>1415356</v>
      </c>
      <c r="N2095" s="2">
        <v>0</v>
      </c>
      <c r="O2095" t="s">
        <v>24</v>
      </c>
      <c r="P2095" t="s">
        <v>24</v>
      </c>
      <c r="Q2095" t="s">
        <v>24</v>
      </c>
    </row>
    <row r="2096" spans="1:17" x14ac:dyDescent="0.25">
      <c r="A2096" t="s">
        <v>554</v>
      </c>
      <c r="B2096" t="s">
        <v>555</v>
      </c>
      <c r="C2096" s="1">
        <v>41275</v>
      </c>
      <c r="D2096" s="1">
        <v>41639</v>
      </c>
      <c r="E2096" t="s">
        <v>556</v>
      </c>
      <c r="G2096" t="s">
        <v>167</v>
      </c>
      <c r="H2096" t="s">
        <v>62</v>
      </c>
      <c r="I2096" t="str">
        <f>"45201"</f>
        <v>45201</v>
      </c>
      <c r="J2096" t="s">
        <v>22</v>
      </c>
      <c r="K2096" t="s">
        <v>30</v>
      </c>
      <c r="L2096" s="2">
        <v>1490111</v>
      </c>
      <c r="M2096" s="2">
        <v>791160</v>
      </c>
      <c r="N2096" s="2">
        <v>0</v>
      </c>
      <c r="O2096" s="2">
        <v>161090</v>
      </c>
      <c r="P2096" t="s">
        <v>24</v>
      </c>
      <c r="Q2096" t="s">
        <v>24</v>
      </c>
    </row>
    <row r="2097" spans="1:17" x14ac:dyDescent="0.25">
      <c r="A2097" t="s">
        <v>4130</v>
      </c>
      <c r="B2097" t="s">
        <v>4131</v>
      </c>
      <c r="C2097" s="1">
        <v>41275</v>
      </c>
      <c r="D2097" s="1">
        <v>41639</v>
      </c>
      <c r="E2097" t="s">
        <v>4132</v>
      </c>
      <c r="G2097" t="s">
        <v>4133</v>
      </c>
      <c r="H2097" t="s">
        <v>47</v>
      </c>
      <c r="I2097" t="str">
        <f>"49418"</f>
        <v>49418</v>
      </c>
      <c r="J2097" t="s">
        <v>22</v>
      </c>
      <c r="K2097" t="s">
        <v>23</v>
      </c>
      <c r="L2097" s="2">
        <v>1490085</v>
      </c>
      <c r="M2097" s="2">
        <v>1177318</v>
      </c>
      <c r="N2097" s="2">
        <v>0</v>
      </c>
      <c r="O2097" s="2">
        <v>30308</v>
      </c>
      <c r="P2097" t="s">
        <v>24</v>
      </c>
      <c r="Q2097" t="s">
        <v>24</v>
      </c>
    </row>
    <row r="2098" spans="1:17" x14ac:dyDescent="0.25">
      <c r="A2098" t="s">
        <v>6647</v>
      </c>
      <c r="B2098" t="s">
        <v>6648</v>
      </c>
      <c r="E2098" t="s">
        <v>6649</v>
      </c>
      <c r="G2098" t="s">
        <v>246</v>
      </c>
      <c r="H2098" t="s">
        <v>29</v>
      </c>
      <c r="I2098" t="str">
        <f>"60563"</f>
        <v>60563</v>
      </c>
      <c r="J2098" t="s">
        <v>22</v>
      </c>
      <c r="K2098" t="s">
        <v>30</v>
      </c>
      <c r="L2098" s="2">
        <v>1488462</v>
      </c>
      <c r="M2098" s="2">
        <v>1501903</v>
      </c>
      <c r="N2098" s="2">
        <v>0</v>
      </c>
      <c r="O2098" t="s">
        <v>24</v>
      </c>
      <c r="P2098" t="s">
        <v>24</v>
      </c>
      <c r="Q2098" t="s">
        <v>24</v>
      </c>
    </row>
    <row r="2099" spans="1:17" x14ac:dyDescent="0.25">
      <c r="A2099" t="s">
        <v>3941</v>
      </c>
      <c r="B2099" t="s">
        <v>3942</v>
      </c>
      <c r="C2099" s="1">
        <v>41275</v>
      </c>
      <c r="D2099" s="1">
        <v>41639</v>
      </c>
      <c r="E2099" t="s">
        <v>3943</v>
      </c>
      <c r="G2099" t="s">
        <v>1785</v>
      </c>
      <c r="H2099" t="s">
        <v>62</v>
      </c>
      <c r="I2099" t="str">
        <f>"43402"</f>
        <v>43402</v>
      </c>
      <c r="J2099" t="s">
        <v>22</v>
      </c>
      <c r="K2099" t="s">
        <v>30</v>
      </c>
      <c r="L2099" s="2">
        <v>1486852</v>
      </c>
      <c r="M2099" s="2">
        <v>383583</v>
      </c>
      <c r="N2099" s="2">
        <v>0</v>
      </c>
      <c r="O2099" s="2">
        <v>80779</v>
      </c>
      <c r="P2099" t="s">
        <v>24</v>
      </c>
      <c r="Q2099" t="s">
        <v>24</v>
      </c>
    </row>
    <row r="2100" spans="1:17" x14ac:dyDescent="0.25">
      <c r="A2100" t="s">
        <v>6213</v>
      </c>
      <c r="B2100" t="s">
        <v>6214</v>
      </c>
      <c r="C2100" s="1">
        <v>41275</v>
      </c>
      <c r="D2100" s="1">
        <v>41639</v>
      </c>
      <c r="E2100" t="s">
        <v>6215</v>
      </c>
      <c r="G2100" t="s">
        <v>2846</v>
      </c>
      <c r="H2100" t="s">
        <v>29</v>
      </c>
      <c r="I2100" t="str">
        <f>"62226"</f>
        <v>62226</v>
      </c>
      <c r="J2100" t="s">
        <v>22</v>
      </c>
      <c r="K2100" t="s">
        <v>23</v>
      </c>
      <c r="L2100" s="2">
        <v>1486349</v>
      </c>
      <c r="M2100" s="2">
        <v>2742752</v>
      </c>
      <c r="N2100" s="2">
        <v>0</v>
      </c>
      <c r="O2100" s="2">
        <v>84359</v>
      </c>
      <c r="P2100" t="s">
        <v>24</v>
      </c>
      <c r="Q2100" t="s">
        <v>24</v>
      </c>
    </row>
    <row r="2101" spans="1:17" x14ac:dyDescent="0.25">
      <c r="A2101" t="s">
        <v>6114</v>
      </c>
      <c r="B2101" t="s">
        <v>6115</v>
      </c>
      <c r="C2101" s="1">
        <v>41426</v>
      </c>
      <c r="D2101" s="1">
        <v>41790</v>
      </c>
      <c r="E2101" t="s">
        <v>6116</v>
      </c>
      <c r="G2101" t="s">
        <v>829</v>
      </c>
      <c r="H2101" t="s">
        <v>62</v>
      </c>
      <c r="I2101" t="str">
        <f>"43699"</f>
        <v>43699</v>
      </c>
      <c r="J2101" t="s">
        <v>22</v>
      </c>
      <c r="K2101" t="s">
        <v>91</v>
      </c>
      <c r="L2101" s="2">
        <v>1485790</v>
      </c>
      <c r="M2101" s="2">
        <v>751555</v>
      </c>
      <c r="N2101" s="2">
        <v>16316</v>
      </c>
      <c r="O2101" s="2">
        <v>141598</v>
      </c>
      <c r="P2101" t="s">
        <v>24</v>
      </c>
      <c r="Q2101" t="s">
        <v>24</v>
      </c>
    </row>
    <row r="2102" spans="1:17" x14ac:dyDescent="0.25">
      <c r="A2102" t="s">
        <v>1799</v>
      </c>
      <c r="B2102" t="s">
        <v>1800</v>
      </c>
      <c r="C2102" s="1">
        <v>41275</v>
      </c>
      <c r="D2102" s="1">
        <v>41639</v>
      </c>
      <c r="E2102" t="s">
        <v>1801</v>
      </c>
      <c r="G2102" t="s">
        <v>28</v>
      </c>
      <c r="H2102" t="s">
        <v>29</v>
      </c>
      <c r="I2102" t="str">
        <f>"60611"</f>
        <v>60611</v>
      </c>
      <c r="J2102" t="s">
        <v>22</v>
      </c>
      <c r="K2102" t="s">
        <v>30</v>
      </c>
      <c r="L2102" s="2">
        <v>1485131</v>
      </c>
      <c r="M2102" s="2">
        <v>133602</v>
      </c>
      <c r="N2102" s="2">
        <v>0</v>
      </c>
      <c r="O2102" s="2">
        <v>87964</v>
      </c>
      <c r="P2102" t="s">
        <v>24</v>
      </c>
      <c r="Q2102" t="s">
        <v>24</v>
      </c>
    </row>
    <row r="2103" spans="1:17" x14ac:dyDescent="0.25">
      <c r="A2103" t="s">
        <v>1989</v>
      </c>
      <c r="B2103" t="s">
        <v>1990</v>
      </c>
      <c r="C2103" s="1">
        <v>41275</v>
      </c>
      <c r="D2103" s="1">
        <v>41639</v>
      </c>
      <c r="E2103" t="s">
        <v>1991</v>
      </c>
      <c r="G2103" t="s">
        <v>1992</v>
      </c>
      <c r="H2103" t="s">
        <v>62</v>
      </c>
      <c r="I2103" t="str">
        <f>"44030"</f>
        <v>44030</v>
      </c>
      <c r="J2103" t="s">
        <v>22</v>
      </c>
      <c r="K2103" t="s">
        <v>30</v>
      </c>
      <c r="L2103" s="2">
        <v>1484388</v>
      </c>
      <c r="M2103" s="2">
        <v>490043</v>
      </c>
      <c r="N2103" s="2">
        <v>0</v>
      </c>
      <c r="O2103" s="2">
        <v>140746</v>
      </c>
      <c r="P2103" t="s">
        <v>24</v>
      </c>
      <c r="Q2103" t="s">
        <v>24</v>
      </c>
    </row>
    <row r="2104" spans="1:17" x14ac:dyDescent="0.25">
      <c r="A2104" t="s">
        <v>544</v>
      </c>
      <c r="B2104" t="s">
        <v>545</v>
      </c>
      <c r="C2104" s="1">
        <v>41275</v>
      </c>
      <c r="D2104" s="1">
        <v>41639</v>
      </c>
      <c r="E2104" t="s">
        <v>546</v>
      </c>
      <c r="G2104" t="s">
        <v>547</v>
      </c>
      <c r="H2104" t="s">
        <v>62</v>
      </c>
      <c r="I2104" t="str">
        <f>"45662"</f>
        <v>45662</v>
      </c>
      <c r="J2104" t="s">
        <v>22</v>
      </c>
      <c r="K2104" t="s">
        <v>23</v>
      </c>
      <c r="L2104" s="2">
        <v>1477915</v>
      </c>
      <c r="M2104" s="2">
        <v>135970</v>
      </c>
      <c r="N2104" s="2">
        <v>0</v>
      </c>
      <c r="O2104" s="2">
        <v>74913</v>
      </c>
      <c r="P2104" t="s">
        <v>24</v>
      </c>
      <c r="Q2104" t="s">
        <v>24</v>
      </c>
    </row>
    <row r="2105" spans="1:17" x14ac:dyDescent="0.25">
      <c r="A2105" t="s">
        <v>5049</v>
      </c>
      <c r="B2105" t="s">
        <v>5050</v>
      </c>
      <c r="C2105" s="1">
        <v>41275</v>
      </c>
      <c r="D2105" s="1">
        <v>41639</v>
      </c>
      <c r="E2105" t="s">
        <v>1814</v>
      </c>
      <c r="G2105" t="s">
        <v>5051</v>
      </c>
      <c r="H2105" t="s">
        <v>21</v>
      </c>
      <c r="I2105" t="str">
        <f>"47601"</f>
        <v>47601</v>
      </c>
      <c r="J2105" t="s">
        <v>22</v>
      </c>
      <c r="K2105" t="s">
        <v>23</v>
      </c>
      <c r="L2105" s="2">
        <v>1476646</v>
      </c>
      <c r="M2105" s="2">
        <v>60011</v>
      </c>
      <c r="N2105" s="2">
        <v>0</v>
      </c>
      <c r="O2105" s="2">
        <v>89170</v>
      </c>
      <c r="P2105" t="s">
        <v>24</v>
      </c>
      <c r="Q2105" t="s">
        <v>24</v>
      </c>
    </row>
    <row r="2106" spans="1:17" x14ac:dyDescent="0.25">
      <c r="A2106" t="s">
        <v>470</v>
      </c>
      <c r="B2106" t="s">
        <v>471</v>
      </c>
      <c r="C2106" s="1">
        <v>41275</v>
      </c>
      <c r="D2106" s="1">
        <v>41639</v>
      </c>
      <c r="E2106" t="s">
        <v>472</v>
      </c>
      <c r="G2106" t="s">
        <v>20</v>
      </c>
      <c r="H2106" t="s">
        <v>21</v>
      </c>
      <c r="I2106" t="str">
        <f>"46204"</f>
        <v>46204</v>
      </c>
      <c r="J2106" t="s">
        <v>22</v>
      </c>
      <c r="K2106" t="s">
        <v>30</v>
      </c>
      <c r="L2106" s="2">
        <v>1476484</v>
      </c>
      <c r="M2106" s="2">
        <v>162313</v>
      </c>
      <c r="N2106" s="2">
        <v>0</v>
      </c>
      <c r="O2106" s="2">
        <v>443126</v>
      </c>
      <c r="P2106" t="s">
        <v>24</v>
      </c>
      <c r="Q2106" t="s">
        <v>24</v>
      </c>
    </row>
    <row r="2107" spans="1:17" x14ac:dyDescent="0.25">
      <c r="A2107" t="s">
        <v>5420</v>
      </c>
      <c r="B2107" t="s">
        <v>5421</v>
      </c>
      <c r="C2107" s="1">
        <v>41275</v>
      </c>
      <c r="D2107" s="1">
        <v>41639</v>
      </c>
      <c r="E2107" t="s">
        <v>750</v>
      </c>
      <c r="G2107" t="s">
        <v>751</v>
      </c>
      <c r="H2107" t="s">
        <v>62</v>
      </c>
      <c r="I2107" t="str">
        <f>"44144"</f>
        <v>44144</v>
      </c>
      <c r="J2107" t="s">
        <v>22</v>
      </c>
      <c r="K2107" t="s">
        <v>23</v>
      </c>
      <c r="L2107" s="2">
        <v>1475715</v>
      </c>
      <c r="M2107" s="2">
        <v>234532</v>
      </c>
      <c r="N2107" s="2">
        <v>0</v>
      </c>
      <c r="O2107" s="2">
        <v>85757</v>
      </c>
      <c r="P2107" t="s">
        <v>24</v>
      </c>
      <c r="Q2107" t="s">
        <v>24</v>
      </c>
    </row>
    <row r="2108" spans="1:17" x14ac:dyDescent="0.25">
      <c r="A2108" t="s">
        <v>3551</v>
      </c>
      <c r="B2108" t="s">
        <v>3552</v>
      </c>
      <c r="C2108" s="1">
        <v>41275</v>
      </c>
      <c r="D2108" s="1">
        <v>41639</v>
      </c>
      <c r="E2108" t="s">
        <v>53</v>
      </c>
      <c r="G2108" t="s">
        <v>28</v>
      </c>
      <c r="H2108" t="s">
        <v>29</v>
      </c>
      <c r="I2108" t="str">
        <f>"60603"</f>
        <v>60603</v>
      </c>
      <c r="J2108" t="s">
        <v>22</v>
      </c>
      <c r="K2108" t="s">
        <v>30</v>
      </c>
      <c r="L2108" s="2">
        <v>1474133</v>
      </c>
      <c r="M2108" s="2">
        <v>132492</v>
      </c>
      <c r="N2108" s="2">
        <v>0</v>
      </c>
      <c r="O2108" s="2">
        <v>73523</v>
      </c>
      <c r="P2108" t="s">
        <v>24</v>
      </c>
      <c r="Q2108" t="s">
        <v>24</v>
      </c>
    </row>
    <row r="2109" spans="1:17" x14ac:dyDescent="0.25">
      <c r="A2109" t="s">
        <v>5512</v>
      </c>
      <c r="B2109" t="s">
        <v>5513</v>
      </c>
      <c r="C2109" s="1">
        <v>41275</v>
      </c>
      <c r="D2109" s="1">
        <v>41639</v>
      </c>
      <c r="E2109" t="s">
        <v>5514</v>
      </c>
      <c r="G2109" t="s">
        <v>337</v>
      </c>
      <c r="H2109" t="s">
        <v>62</v>
      </c>
      <c r="I2109" t="str">
        <f>"44114"</f>
        <v>44114</v>
      </c>
      <c r="J2109" t="s">
        <v>22</v>
      </c>
      <c r="K2109" t="s">
        <v>23</v>
      </c>
      <c r="L2109" s="2">
        <v>1474110</v>
      </c>
      <c r="M2109" s="2">
        <v>1019979</v>
      </c>
      <c r="N2109" s="2">
        <v>0</v>
      </c>
      <c r="O2109" s="2">
        <v>192479</v>
      </c>
      <c r="P2109" t="s">
        <v>24</v>
      </c>
      <c r="Q2109" t="s">
        <v>24</v>
      </c>
    </row>
    <row r="2110" spans="1:17" x14ac:dyDescent="0.25">
      <c r="A2110" t="s">
        <v>7193</v>
      </c>
      <c r="B2110" t="s">
        <v>7194</v>
      </c>
      <c r="C2110" s="1">
        <v>41275</v>
      </c>
      <c r="D2110" s="1">
        <v>41639</v>
      </c>
      <c r="E2110" t="s">
        <v>7195</v>
      </c>
      <c r="G2110" t="s">
        <v>219</v>
      </c>
      <c r="H2110" t="s">
        <v>62</v>
      </c>
      <c r="I2110" t="str">
        <f>"45140"</f>
        <v>45140</v>
      </c>
      <c r="J2110" t="s">
        <v>22</v>
      </c>
      <c r="K2110" t="s">
        <v>23</v>
      </c>
      <c r="L2110" s="2">
        <v>1473589</v>
      </c>
      <c r="M2110" s="2">
        <v>1334194</v>
      </c>
      <c r="N2110" s="2">
        <v>0</v>
      </c>
      <c r="O2110" s="2">
        <v>78241</v>
      </c>
      <c r="P2110" t="s">
        <v>24</v>
      </c>
      <c r="Q2110" t="s">
        <v>24</v>
      </c>
    </row>
    <row r="2111" spans="1:17" x14ac:dyDescent="0.25">
      <c r="A2111" t="s">
        <v>563</v>
      </c>
      <c r="B2111" t="s">
        <v>564</v>
      </c>
      <c r="C2111" s="1">
        <v>41275</v>
      </c>
      <c r="D2111" s="1">
        <v>41639</v>
      </c>
      <c r="E2111" t="s">
        <v>565</v>
      </c>
      <c r="G2111" t="s">
        <v>86</v>
      </c>
      <c r="H2111" t="s">
        <v>42</v>
      </c>
      <c r="I2111" t="str">
        <f>"53704"</f>
        <v>53704</v>
      </c>
      <c r="J2111" t="s">
        <v>22</v>
      </c>
      <c r="K2111" t="s">
        <v>23</v>
      </c>
      <c r="L2111" s="2">
        <v>1473510</v>
      </c>
      <c r="M2111" s="2">
        <v>230034</v>
      </c>
      <c r="N2111" s="2">
        <v>0</v>
      </c>
      <c r="O2111" s="2">
        <v>1418</v>
      </c>
      <c r="P2111" t="s">
        <v>24</v>
      </c>
      <c r="Q2111" t="s">
        <v>24</v>
      </c>
    </row>
    <row r="2112" spans="1:17" x14ac:dyDescent="0.25">
      <c r="A2112" t="s">
        <v>87</v>
      </c>
      <c r="B2112" t="s">
        <v>88</v>
      </c>
      <c r="C2112" s="1">
        <v>41548</v>
      </c>
      <c r="D2112" s="1">
        <v>41912</v>
      </c>
      <c r="E2112" t="s">
        <v>89</v>
      </c>
      <c r="G2112" t="s">
        <v>90</v>
      </c>
      <c r="H2112" t="s">
        <v>21</v>
      </c>
      <c r="I2112" t="str">
        <f>"47532"</f>
        <v>47532</v>
      </c>
      <c r="J2112" t="s">
        <v>22</v>
      </c>
      <c r="K2112" t="s">
        <v>91</v>
      </c>
      <c r="L2112" s="2">
        <v>1472483</v>
      </c>
      <c r="M2112" s="2">
        <v>365612</v>
      </c>
      <c r="N2112" s="2">
        <v>0</v>
      </c>
      <c r="O2112" s="2">
        <v>68169</v>
      </c>
      <c r="P2112" t="s">
        <v>24</v>
      </c>
      <c r="Q2112" t="s">
        <v>24</v>
      </c>
    </row>
    <row r="2113" spans="1:17" x14ac:dyDescent="0.25">
      <c r="A2113" t="s">
        <v>2104</v>
      </c>
      <c r="B2113" t="s">
        <v>2105</v>
      </c>
      <c r="C2113" s="1">
        <v>41275</v>
      </c>
      <c r="D2113" s="1">
        <v>41639</v>
      </c>
      <c r="E2113" t="s">
        <v>2106</v>
      </c>
      <c r="G2113" t="s">
        <v>28</v>
      </c>
      <c r="H2113" t="s">
        <v>29</v>
      </c>
      <c r="I2113" t="str">
        <f>"60601"</f>
        <v>60601</v>
      </c>
      <c r="J2113" t="s">
        <v>22</v>
      </c>
      <c r="K2113" t="s">
        <v>23</v>
      </c>
      <c r="L2113" s="2">
        <v>1472257</v>
      </c>
      <c r="M2113" s="2">
        <v>404064</v>
      </c>
      <c r="N2113" s="2">
        <v>0</v>
      </c>
      <c r="O2113" s="2">
        <v>87294</v>
      </c>
      <c r="P2113" t="s">
        <v>24</v>
      </c>
      <c r="Q2113" t="s">
        <v>24</v>
      </c>
    </row>
    <row r="2114" spans="1:17" x14ac:dyDescent="0.25">
      <c r="A2114" t="s">
        <v>3473</v>
      </c>
      <c r="B2114" t="s">
        <v>3474</v>
      </c>
      <c r="C2114" s="1">
        <v>41275</v>
      </c>
      <c r="D2114" s="1">
        <v>41639</v>
      </c>
      <c r="E2114" t="s">
        <v>3475</v>
      </c>
      <c r="G2114" t="s">
        <v>1134</v>
      </c>
      <c r="H2114" t="s">
        <v>21</v>
      </c>
      <c r="I2114" t="str">
        <f>"47131"</f>
        <v>47131</v>
      </c>
      <c r="J2114" t="s">
        <v>22</v>
      </c>
      <c r="K2114" t="s">
        <v>30</v>
      </c>
      <c r="L2114" s="2">
        <v>1472087</v>
      </c>
      <c r="M2114" s="2">
        <v>257690</v>
      </c>
      <c r="N2114" s="2">
        <v>0</v>
      </c>
      <c r="O2114" s="2">
        <v>228208</v>
      </c>
      <c r="P2114" t="s">
        <v>24</v>
      </c>
      <c r="Q2114" t="s">
        <v>24</v>
      </c>
    </row>
    <row r="2115" spans="1:17" x14ac:dyDescent="0.25">
      <c r="A2115" t="s">
        <v>5972</v>
      </c>
      <c r="B2115" t="s">
        <v>5973</v>
      </c>
      <c r="C2115" s="1">
        <v>41275</v>
      </c>
      <c r="D2115" s="1">
        <v>41639</v>
      </c>
      <c r="E2115" t="s">
        <v>5974</v>
      </c>
      <c r="G2115" t="s">
        <v>167</v>
      </c>
      <c r="H2115" t="s">
        <v>62</v>
      </c>
      <c r="I2115" t="str">
        <f>"45206"</f>
        <v>45206</v>
      </c>
      <c r="J2115" t="s">
        <v>22</v>
      </c>
      <c r="K2115" t="s">
        <v>30</v>
      </c>
      <c r="L2115" s="2">
        <v>1471757</v>
      </c>
      <c r="M2115" s="2">
        <v>517672</v>
      </c>
      <c r="N2115" s="2">
        <v>0</v>
      </c>
      <c r="O2115" s="2">
        <v>306134</v>
      </c>
      <c r="P2115" t="s">
        <v>24</v>
      </c>
      <c r="Q2115" t="s">
        <v>24</v>
      </c>
    </row>
    <row r="2116" spans="1:17" x14ac:dyDescent="0.25">
      <c r="A2116" t="s">
        <v>7425</v>
      </c>
      <c r="B2116" t="s">
        <v>7426</v>
      </c>
      <c r="C2116" s="1">
        <v>41275</v>
      </c>
      <c r="D2116" s="1">
        <v>41639</v>
      </c>
      <c r="E2116" t="s">
        <v>7427</v>
      </c>
      <c r="F2116" t="s">
        <v>7428</v>
      </c>
      <c r="G2116" t="s">
        <v>41</v>
      </c>
      <c r="H2116" t="s">
        <v>42</v>
      </c>
      <c r="I2116" t="str">
        <f>"53212"</f>
        <v>53212</v>
      </c>
      <c r="J2116" t="s">
        <v>22</v>
      </c>
      <c r="K2116" t="s">
        <v>30</v>
      </c>
      <c r="L2116" s="2">
        <v>1471279</v>
      </c>
      <c r="M2116" s="2">
        <v>2892630</v>
      </c>
      <c r="N2116" s="2">
        <v>203344</v>
      </c>
      <c r="O2116" s="2">
        <v>1380629</v>
      </c>
      <c r="P2116" t="s">
        <v>24</v>
      </c>
      <c r="Q2116" t="s">
        <v>24</v>
      </c>
    </row>
    <row r="2117" spans="1:17" x14ac:dyDescent="0.25">
      <c r="A2117" t="s">
        <v>2403</v>
      </c>
      <c r="B2117" t="s">
        <v>2404</v>
      </c>
      <c r="C2117" s="1">
        <v>41275</v>
      </c>
      <c r="D2117" s="1">
        <v>41639</v>
      </c>
      <c r="E2117" t="s">
        <v>2405</v>
      </c>
      <c r="G2117" t="s">
        <v>1757</v>
      </c>
      <c r="H2117" t="s">
        <v>47</v>
      </c>
      <c r="I2117" t="str">
        <f>"49006"</f>
        <v>49006</v>
      </c>
      <c r="J2117" t="s">
        <v>22</v>
      </c>
      <c r="K2117" t="s">
        <v>23</v>
      </c>
      <c r="L2117" s="2">
        <v>1470727</v>
      </c>
      <c r="M2117" s="2">
        <v>91255</v>
      </c>
      <c r="N2117" s="2">
        <v>0</v>
      </c>
      <c r="O2117" s="2">
        <v>67980</v>
      </c>
      <c r="P2117" t="s">
        <v>24</v>
      </c>
      <c r="Q2117" t="s">
        <v>24</v>
      </c>
    </row>
    <row r="2118" spans="1:17" x14ac:dyDescent="0.25">
      <c r="A2118" t="s">
        <v>1819</v>
      </c>
      <c r="B2118" t="s">
        <v>1820</v>
      </c>
      <c r="C2118" s="1">
        <v>41275</v>
      </c>
      <c r="D2118" s="1">
        <v>41639</v>
      </c>
      <c r="E2118" t="s">
        <v>1821</v>
      </c>
      <c r="G2118" t="s">
        <v>1822</v>
      </c>
      <c r="H2118" t="s">
        <v>62</v>
      </c>
      <c r="I2118" t="str">
        <f>"44691"</f>
        <v>44691</v>
      </c>
      <c r="J2118" t="s">
        <v>752</v>
      </c>
      <c r="K2118" t="s">
        <v>753</v>
      </c>
      <c r="L2118" s="2">
        <v>1469258</v>
      </c>
      <c r="M2118" s="2">
        <v>120357</v>
      </c>
      <c r="N2118" s="2">
        <v>0</v>
      </c>
      <c r="O2118" s="2">
        <v>23599</v>
      </c>
      <c r="P2118" t="s">
        <v>24</v>
      </c>
      <c r="Q2118" t="s">
        <v>24</v>
      </c>
    </row>
    <row r="2119" spans="1:17" x14ac:dyDescent="0.25">
      <c r="A2119" t="s">
        <v>2569</v>
      </c>
      <c r="B2119" t="s">
        <v>2570</v>
      </c>
      <c r="C2119" s="1">
        <v>41275</v>
      </c>
      <c r="D2119" s="1">
        <v>41639</v>
      </c>
      <c r="E2119" t="s">
        <v>2571</v>
      </c>
      <c r="G2119" t="s">
        <v>428</v>
      </c>
      <c r="H2119" t="s">
        <v>29</v>
      </c>
      <c r="I2119" t="str">
        <f>"60178"</f>
        <v>60178</v>
      </c>
      <c r="J2119" t="s">
        <v>22</v>
      </c>
      <c r="K2119" t="s">
        <v>30</v>
      </c>
      <c r="L2119" s="2">
        <v>1468245</v>
      </c>
      <c r="M2119" s="2">
        <v>747194</v>
      </c>
      <c r="N2119" s="2">
        <v>0</v>
      </c>
      <c r="O2119" s="2">
        <v>78531</v>
      </c>
      <c r="P2119" t="s">
        <v>24</v>
      </c>
      <c r="Q2119" t="s">
        <v>24</v>
      </c>
    </row>
    <row r="2120" spans="1:17" x14ac:dyDescent="0.25">
      <c r="A2120" t="s">
        <v>4540</v>
      </c>
      <c r="B2120" t="s">
        <v>4541</v>
      </c>
      <c r="C2120" s="1">
        <v>41275</v>
      </c>
      <c r="D2120" s="1">
        <v>41639</v>
      </c>
      <c r="E2120" t="s">
        <v>4542</v>
      </c>
      <c r="G2120" t="s">
        <v>4543</v>
      </c>
      <c r="H2120" t="s">
        <v>42</v>
      </c>
      <c r="I2120" t="str">
        <f>"53950"</f>
        <v>53950</v>
      </c>
      <c r="J2120" t="s">
        <v>22</v>
      </c>
      <c r="K2120" t="s">
        <v>91</v>
      </c>
      <c r="L2120" s="2">
        <v>1467923</v>
      </c>
      <c r="M2120" s="2">
        <v>373920</v>
      </c>
      <c r="N2120" s="2">
        <v>0</v>
      </c>
      <c r="O2120" s="2">
        <v>64320</v>
      </c>
      <c r="P2120" t="s">
        <v>24</v>
      </c>
      <c r="Q2120" t="s">
        <v>24</v>
      </c>
    </row>
    <row r="2121" spans="1:17" x14ac:dyDescent="0.25">
      <c r="A2121" t="s">
        <v>6196</v>
      </c>
      <c r="B2121" t="s">
        <v>6197</v>
      </c>
      <c r="C2121" s="1">
        <v>41153</v>
      </c>
      <c r="D2121" s="1">
        <v>41517</v>
      </c>
      <c r="E2121" t="s">
        <v>6198</v>
      </c>
      <c r="G2121" t="s">
        <v>2110</v>
      </c>
      <c r="H2121" t="s">
        <v>29</v>
      </c>
      <c r="I2121" t="str">
        <f>"60438"</f>
        <v>60438</v>
      </c>
      <c r="J2121" t="s">
        <v>63</v>
      </c>
      <c r="K2121" t="s">
        <v>30</v>
      </c>
      <c r="L2121" s="2">
        <v>1465693</v>
      </c>
      <c r="M2121" s="2">
        <v>181275</v>
      </c>
      <c r="N2121" s="2">
        <v>2382</v>
      </c>
      <c r="O2121" s="2">
        <v>120932</v>
      </c>
      <c r="P2121" s="2">
        <v>14281</v>
      </c>
      <c r="Q2121" s="2">
        <v>34651</v>
      </c>
    </row>
    <row r="2122" spans="1:17" x14ac:dyDescent="0.25">
      <c r="A2122" t="s">
        <v>6224</v>
      </c>
      <c r="B2122" t="s">
        <v>6225</v>
      </c>
      <c r="E2122" t="s">
        <v>6226</v>
      </c>
      <c r="G2122" t="s">
        <v>41</v>
      </c>
      <c r="H2122" t="s">
        <v>42</v>
      </c>
      <c r="I2122" t="str">
        <f>"53202"</f>
        <v>53202</v>
      </c>
      <c r="J2122" t="s">
        <v>22</v>
      </c>
      <c r="K2122" t="s">
        <v>91</v>
      </c>
      <c r="L2122" s="2">
        <v>1462828</v>
      </c>
      <c r="M2122" s="2">
        <v>1072586</v>
      </c>
      <c r="N2122" s="2">
        <v>0</v>
      </c>
      <c r="O2122" t="s">
        <v>24</v>
      </c>
      <c r="P2122" t="s">
        <v>24</v>
      </c>
      <c r="Q2122" t="s">
        <v>24</v>
      </c>
    </row>
    <row r="2123" spans="1:17" x14ac:dyDescent="0.25">
      <c r="A2123" t="s">
        <v>325</v>
      </c>
      <c r="B2123" t="s">
        <v>326</v>
      </c>
      <c r="C2123" s="1">
        <v>41275</v>
      </c>
      <c r="D2123" s="1">
        <v>41639</v>
      </c>
      <c r="E2123" t="s">
        <v>327</v>
      </c>
      <c r="G2123" t="s">
        <v>41</v>
      </c>
      <c r="H2123" t="s">
        <v>42</v>
      </c>
      <c r="I2123" t="str">
        <f>"53211"</f>
        <v>53211</v>
      </c>
      <c r="J2123" t="s">
        <v>22</v>
      </c>
      <c r="K2123" t="s">
        <v>23</v>
      </c>
      <c r="L2123" s="2">
        <v>1462617</v>
      </c>
      <c r="M2123" s="2">
        <v>395205</v>
      </c>
      <c r="N2123" s="2">
        <v>0</v>
      </c>
      <c r="O2123" s="2">
        <v>79999</v>
      </c>
      <c r="P2123" t="s">
        <v>24</v>
      </c>
      <c r="Q2123" t="s">
        <v>24</v>
      </c>
    </row>
    <row r="2124" spans="1:17" x14ac:dyDescent="0.25">
      <c r="A2124" t="s">
        <v>1947</v>
      </c>
      <c r="B2124" t="s">
        <v>1948</v>
      </c>
      <c r="C2124" s="1">
        <v>41275</v>
      </c>
      <c r="D2124" s="1">
        <v>41639</v>
      </c>
      <c r="E2124" t="s">
        <v>1949</v>
      </c>
      <c r="G2124" t="s">
        <v>1950</v>
      </c>
      <c r="H2124" t="s">
        <v>29</v>
      </c>
      <c r="I2124" t="str">
        <f>"60008"</f>
        <v>60008</v>
      </c>
      <c r="J2124" t="s">
        <v>63</v>
      </c>
      <c r="K2124" t="s">
        <v>30</v>
      </c>
      <c r="L2124" s="2">
        <v>1461727</v>
      </c>
      <c r="M2124" s="2">
        <v>334380</v>
      </c>
      <c r="N2124" s="2">
        <v>4112</v>
      </c>
      <c r="O2124" s="2">
        <v>289351</v>
      </c>
      <c r="P2124" s="2">
        <v>33293</v>
      </c>
      <c r="Q2124" s="2">
        <v>0</v>
      </c>
    </row>
    <row r="2125" spans="1:17" x14ac:dyDescent="0.25">
      <c r="A2125" t="s">
        <v>2861</v>
      </c>
      <c r="B2125" t="s">
        <v>2862</v>
      </c>
      <c r="C2125" s="1">
        <v>41275</v>
      </c>
      <c r="D2125" s="1">
        <v>41639</v>
      </c>
      <c r="E2125" t="s">
        <v>2863</v>
      </c>
      <c r="G2125" t="s">
        <v>843</v>
      </c>
      <c r="H2125" t="s">
        <v>29</v>
      </c>
      <c r="I2125" t="str">
        <f>"61114"</f>
        <v>61114</v>
      </c>
      <c r="J2125" t="s">
        <v>22</v>
      </c>
      <c r="K2125" t="s">
        <v>23</v>
      </c>
      <c r="L2125" s="2">
        <v>1458703</v>
      </c>
      <c r="M2125" s="2">
        <v>130982</v>
      </c>
      <c r="N2125" s="2">
        <v>0</v>
      </c>
      <c r="O2125" s="2">
        <v>66381</v>
      </c>
      <c r="P2125" t="s">
        <v>24</v>
      </c>
      <c r="Q2125" t="s">
        <v>24</v>
      </c>
    </row>
    <row r="2126" spans="1:17" x14ac:dyDescent="0.25">
      <c r="A2126" t="s">
        <v>5350</v>
      </c>
      <c r="B2126" t="s">
        <v>5351</v>
      </c>
      <c r="E2126" t="s">
        <v>1695</v>
      </c>
      <c r="G2126" t="s">
        <v>28</v>
      </c>
      <c r="H2126" t="s">
        <v>29</v>
      </c>
      <c r="I2126" t="str">
        <f>"60697"</f>
        <v>60697</v>
      </c>
      <c r="J2126" t="s">
        <v>22</v>
      </c>
      <c r="K2126" t="s">
        <v>23</v>
      </c>
      <c r="L2126" s="2">
        <v>1454961</v>
      </c>
      <c r="M2126" s="2">
        <v>477597</v>
      </c>
      <c r="N2126" s="2">
        <v>0</v>
      </c>
      <c r="O2126" t="s">
        <v>24</v>
      </c>
      <c r="P2126" t="s">
        <v>24</v>
      </c>
      <c r="Q2126" t="s">
        <v>24</v>
      </c>
    </row>
    <row r="2127" spans="1:17" x14ac:dyDescent="0.25">
      <c r="A2127" t="s">
        <v>467</v>
      </c>
      <c r="B2127" t="s">
        <v>468</v>
      </c>
      <c r="C2127" s="1">
        <v>41275</v>
      </c>
      <c r="D2127" s="1">
        <v>41639</v>
      </c>
      <c r="E2127" t="s">
        <v>469</v>
      </c>
      <c r="G2127" t="s">
        <v>364</v>
      </c>
      <c r="H2127" t="s">
        <v>21</v>
      </c>
      <c r="I2127" t="str">
        <f>"47735"</f>
        <v>47735</v>
      </c>
      <c r="J2127" t="s">
        <v>22</v>
      </c>
      <c r="K2127" t="s">
        <v>23</v>
      </c>
      <c r="L2127" s="2">
        <v>1454227</v>
      </c>
      <c r="M2127" s="2">
        <v>1191542</v>
      </c>
      <c r="N2127" s="2">
        <v>0</v>
      </c>
      <c r="O2127" s="2">
        <v>119282</v>
      </c>
      <c r="P2127" t="s">
        <v>24</v>
      </c>
      <c r="Q2127" t="s">
        <v>24</v>
      </c>
    </row>
    <row r="2128" spans="1:17" x14ac:dyDescent="0.25">
      <c r="A2128" t="s">
        <v>1015</v>
      </c>
      <c r="B2128" t="s">
        <v>1016</v>
      </c>
      <c r="C2128" s="1">
        <v>41275</v>
      </c>
      <c r="D2128" s="1">
        <v>41639</v>
      </c>
      <c r="E2128" t="s">
        <v>1017</v>
      </c>
      <c r="G2128" t="s">
        <v>659</v>
      </c>
      <c r="H2128" t="s">
        <v>47</v>
      </c>
      <c r="I2128" t="str">
        <f>"48034"</f>
        <v>48034</v>
      </c>
      <c r="J2128" t="s">
        <v>22</v>
      </c>
      <c r="K2128" t="s">
        <v>23</v>
      </c>
      <c r="L2128" s="2">
        <v>1451402</v>
      </c>
      <c r="M2128" s="2">
        <v>1839794</v>
      </c>
      <c r="N2128" s="2">
        <v>0</v>
      </c>
      <c r="O2128" s="2">
        <v>41307</v>
      </c>
      <c r="P2128" t="s">
        <v>24</v>
      </c>
      <c r="Q2128" t="s">
        <v>24</v>
      </c>
    </row>
    <row r="2129" spans="1:17" x14ac:dyDescent="0.25">
      <c r="A2129" t="s">
        <v>3946</v>
      </c>
      <c r="B2129" t="s">
        <v>3947</v>
      </c>
      <c r="C2129" s="1">
        <v>41275</v>
      </c>
      <c r="D2129" s="1">
        <v>41639</v>
      </c>
      <c r="E2129" t="s">
        <v>3948</v>
      </c>
      <c r="G2129" t="s">
        <v>768</v>
      </c>
      <c r="H2129" t="s">
        <v>62</v>
      </c>
      <c r="I2129" t="str">
        <f>"44122"</f>
        <v>44122</v>
      </c>
      <c r="J2129" t="s">
        <v>22</v>
      </c>
      <c r="K2129" t="s">
        <v>30</v>
      </c>
      <c r="L2129" s="2">
        <v>1451241</v>
      </c>
      <c r="M2129" s="2">
        <v>1376706</v>
      </c>
      <c r="N2129" s="2">
        <v>0</v>
      </c>
      <c r="O2129" s="2">
        <v>111055</v>
      </c>
      <c r="P2129" t="s">
        <v>24</v>
      </c>
      <c r="Q2129" t="s">
        <v>24</v>
      </c>
    </row>
    <row r="2130" spans="1:17" x14ac:dyDescent="0.25">
      <c r="A2130" t="s">
        <v>2917</v>
      </c>
      <c r="B2130" t="s">
        <v>2918</v>
      </c>
      <c r="C2130" s="1">
        <v>41275</v>
      </c>
      <c r="D2130" s="1">
        <v>41639</v>
      </c>
      <c r="E2130" t="s">
        <v>2919</v>
      </c>
      <c r="G2130" t="s">
        <v>783</v>
      </c>
      <c r="H2130" t="s">
        <v>21</v>
      </c>
      <c r="I2130" t="str">
        <f>"46032"</f>
        <v>46032</v>
      </c>
      <c r="J2130" t="s">
        <v>22</v>
      </c>
      <c r="K2130" t="s">
        <v>30</v>
      </c>
      <c r="L2130" s="2">
        <v>1448210</v>
      </c>
      <c r="M2130" s="2">
        <v>170843</v>
      </c>
      <c r="N2130" s="2">
        <v>65000</v>
      </c>
      <c r="O2130" s="2">
        <v>137194</v>
      </c>
      <c r="P2130" t="s">
        <v>24</v>
      </c>
      <c r="Q2130" t="s">
        <v>24</v>
      </c>
    </row>
    <row r="2131" spans="1:17" x14ac:dyDescent="0.25">
      <c r="A2131" t="s">
        <v>3281</v>
      </c>
      <c r="B2131" t="s">
        <v>3282</v>
      </c>
      <c r="C2131" s="1">
        <v>40909</v>
      </c>
      <c r="D2131" s="1">
        <v>41274</v>
      </c>
      <c r="E2131" t="s">
        <v>1496</v>
      </c>
      <c r="G2131" t="s">
        <v>167</v>
      </c>
      <c r="H2131" t="s">
        <v>62</v>
      </c>
      <c r="I2131" t="str">
        <f>"45263"</f>
        <v>45263</v>
      </c>
      <c r="J2131" t="s">
        <v>63</v>
      </c>
      <c r="K2131" t="s">
        <v>30</v>
      </c>
      <c r="L2131" s="2">
        <v>1445182</v>
      </c>
      <c r="M2131" s="2">
        <v>62176</v>
      </c>
      <c r="N2131" s="2">
        <v>0</v>
      </c>
      <c r="O2131" s="2">
        <v>97957</v>
      </c>
      <c r="P2131" s="2">
        <v>22467</v>
      </c>
      <c r="Q2131" t="s">
        <v>24</v>
      </c>
    </row>
    <row r="2132" spans="1:17" x14ac:dyDescent="0.25">
      <c r="A2132" t="s">
        <v>4281</v>
      </c>
      <c r="B2132" t="s">
        <v>4282</v>
      </c>
      <c r="C2132" s="1">
        <v>41456</v>
      </c>
      <c r="D2132" s="1">
        <v>41820</v>
      </c>
      <c r="E2132" t="s">
        <v>4283</v>
      </c>
      <c r="G2132" t="s">
        <v>4284</v>
      </c>
      <c r="H2132" t="s">
        <v>42</v>
      </c>
      <c r="I2132" t="str">
        <f>"54495"</f>
        <v>54495</v>
      </c>
      <c r="J2132" t="s">
        <v>22</v>
      </c>
      <c r="K2132" t="s">
        <v>23</v>
      </c>
      <c r="L2132" s="2">
        <v>1440522</v>
      </c>
      <c r="M2132" s="2">
        <v>281083</v>
      </c>
      <c r="N2132" s="2">
        <v>0</v>
      </c>
      <c r="O2132" s="2">
        <v>58255</v>
      </c>
      <c r="P2132" t="s">
        <v>24</v>
      </c>
      <c r="Q2132" t="s">
        <v>24</v>
      </c>
    </row>
    <row r="2133" spans="1:17" x14ac:dyDescent="0.25">
      <c r="A2133" t="s">
        <v>2749</v>
      </c>
      <c r="B2133" t="s">
        <v>2750</v>
      </c>
      <c r="C2133" s="1">
        <v>41275</v>
      </c>
      <c r="D2133" s="1">
        <v>41639</v>
      </c>
      <c r="E2133" t="s">
        <v>2751</v>
      </c>
      <c r="G2133" t="s">
        <v>2752</v>
      </c>
      <c r="H2133" t="s">
        <v>42</v>
      </c>
      <c r="I2133" t="str">
        <f>"53075"</f>
        <v>53075</v>
      </c>
      <c r="J2133" t="s">
        <v>22</v>
      </c>
      <c r="K2133" t="s">
        <v>30</v>
      </c>
      <c r="L2133" s="2">
        <v>1437929</v>
      </c>
      <c r="M2133" s="2">
        <v>144177</v>
      </c>
      <c r="N2133" s="2">
        <v>0</v>
      </c>
      <c r="O2133" s="2">
        <v>89284</v>
      </c>
      <c r="P2133" t="s">
        <v>24</v>
      </c>
      <c r="Q2133" t="s">
        <v>24</v>
      </c>
    </row>
    <row r="2134" spans="1:17" x14ac:dyDescent="0.25">
      <c r="A2134" t="s">
        <v>3912</v>
      </c>
      <c r="B2134" t="s">
        <v>3913</v>
      </c>
      <c r="C2134" s="1">
        <v>41275</v>
      </c>
      <c r="D2134" s="1">
        <v>41639</v>
      </c>
      <c r="E2134" t="s">
        <v>142</v>
      </c>
      <c r="G2134" t="s">
        <v>143</v>
      </c>
      <c r="H2134" t="s">
        <v>47</v>
      </c>
      <c r="I2134" t="str">
        <f>"48275"</f>
        <v>48275</v>
      </c>
      <c r="J2134" t="s">
        <v>22</v>
      </c>
      <c r="K2134" t="s">
        <v>23</v>
      </c>
      <c r="L2134" s="2">
        <v>1435815</v>
      </c>
      <c r="M2134" s="2">
        <v>333891</v>
      </c>
      <c r="N2134" s="2">
        <v>0</v>
      </c>
      <c r="O2134" s="2">
        <v>88233</v>
      </c>
      <c r="P2134" t="s">
        <v>24</v>
      </c>
      <c r="Q2134" t="s">
        <v>24</v>
      </c>
    </row>
    <row r="2135" spans="1:17" x14ac:dyDescent="0.25">
      <c r="A2135" t="s">
        <v>2024</v>
      </c>
      <c r="B2135" t="s">
        <v>2025</v>
      </c>
      <c r="C2135" s="1">
        <v>41275</v>
      </c>
      <c r="D2135" s="1">
        <v>41639</v>
      </c>
      <c r="E2135" t="s">
        <v>2026</v>
      </c>
      <c r="G2135" t="s">
        <v>28</v>
      </c>
      <c r="H2135" t="s">
        <v>29</v>
      </c>
      <c r="I2135" t="str">
        <f>"60647"</f>
        <v>60647</v>
      </c>
      <c r="J2135" t="s">
        <v>22</v>
      </c>
      <c r="K2135" t="s">
        <v>23</v>
      </c>
      <c r="L2135" s="2">
        <v>1433699</v>
      </c>
      <c r="M2135" s="2">
        <v>1124529</v>
      </c>
      <c r="N2135" s="2">
        <v>0</v>
      </c>
      <c r="O2135" s="2">
        <v>359741</v>
      </c>
      <c r="P2135" t="s">
        <v>24</v>
      </c>
      <c r="Q2135" t="s">
        <v>24</v>
      </c>
    </row>
    <row r="2136" spans="1:17" x14ac:dyDescent="0.25">
      <c r="A2136" t="s">
        <v>4575</v>
      </c>
      <c r="B2136" t="s">
        <v>4576</v>
      </c>
      <c r="C2136" s="1">
        <v>41275</v>
      </c>
      <c r="D2136" s="1">
        <v>41639</v>
      </c>
      <c r="E2136" t="s">
        <v>2132</v>
      </c>
      <c r="G2136" t="s">
        <v>41</v>
      </c>
      <c r="H2136" t="s">
        <v>42</v>
      </c>
      <c r="I2136" t="str">
        <f>"53212"</f>
        <v>53212</v>
      </c>
      <c r="J2136" t="s">
        <v>63</v>
      </c>
      <c r="K2136" t="s">
        <v>30</v>
      </c>
      <c r="L2136" s="2">
        <v>1423866</v>
      </c>
      <c r="M2136" s="2">
        <v>89169</v>
      </c>
      <c r="N2136" s="2">
        <v>5000</v>
      </c>
      <c r="O2136" s="2">
        <v>65010</v>
      </c>
      <c r="P2136" s="2">
        <v>15725</v>
      </c>
      <c r="Q2136" s="2">
        <v>0</v>
      </c>
    </row>
    <row r="2137" spans="1:17" x14ac:dyDescent="0.25">
      <c r="A2137" t="s">
        <v>1554</v>
      </c>
      <c r="B2137" t="s">
        <v>1555</v>
      </c>
      <c r="C2137" s="1">
        <v>41548</v>
      </c>
      <c r="D2137" s="1">
        <v>41912</v>
      </c>
      <c r="E2137" t="s">
        <v>1556</v>
      </c>
      <c r="G2137" t="s">
        <v>98</v>
      </c>
      <c r="H2137" t="s">
        <v>29</v>
      </c>
      <c r="I2137" t="str">
        <f>"60516"</f>
        <v>60516</v>
      </c>
      <c r="J2137" t="s">
        <v>63</v>
      </c>
      <c r="K2137" t="s">
        <v>79</v>
      </c>
      <c r="L2137" s="2">
        <v>1423091</v>
      </c>
      <c r="M2137" s="2">
        <v>302346</v>
      </c>
      <c r="N2137" s="2">
        <v>488938</v>
      </c>
      <c r="O2137" s="2">
        <v>42317</v>
      </c>
      <c r="P2137" s="2">
        <v>5164</v>
      </c>
      <c r="Q2137" s="2">
        <v>37103</v>
      </c>
    </row>
    <row r="2138" spans="1:17" x14ac:dyDescent="0.25">
      <c r="A2138" t="s">
        <v>3956</v>
      </c>
      <c r="B2138" t="s">
        <v>3957</v>
      </c>
      <c r="C2138" s="1">
        <v>40909</v>
      </c>
      <c r="D2138" s="1">
        <v>41274</v>
      </c>
      <c r="E2138" t="s">
        <v>3958</v>
      </c>
      <c r="G2138" t="s">
        <v>1418</v>
      </c>
      <c r="H2138" t="s">
        <v>29</v>
      </c>
      <c r="I2138" t="str">
        <f>"62881"</f>
        <v>62881</v>
      </c>
      <c r="J2138" t="s">
        <v>22</v>
      </c>
      <c r="K2138" t="s">
        <v>23</v>
      </c>
      <c r="L2138" s="2">
        <v>1420336</v>
      </c>
      <c r="M2138" s="2">
        <v>40137</v>
      </c>
      <c r="N2138" s="2">
        <v>0</v>
      </c>
      <c r="O2138" s="2">
        <v>86689</v>
      </c>
      <c r="P2138" t="s">
        <v>24</v>
      </c>
      <c r="Q2138" t="s">
        <v>24</v>
      </c>
    </row>
    <row r="2139" spans="1:17" x14ac:dyDescent="0.25">
      <c r="A2139" t="s">
        <v>392</v>
      </c>
      <c r="B2139" t="s">
        <v>393</v>
      </c>
      <c r="C2139" s="1">
        <v>41275</v>
      </c>
      <c r="D2139" s="1">
        <v>41639</v>
      </c>
      <c r="E2139" t="s">
        <v>394</v>
      </c>
      <c r="G2139" t="s">
        <v>77</v>
      </c>
      <c r="H2139" t="s">
        <v>78</v>
      </c>
      <c r="I2139" t="str">
        <f>"40241"</f>
        <v>40241</v>
      </c>
      <c r="J2139" t="s">
        <v>22</v>
      </c>
      <c r="K2139" t="s">
        <v>30</v>
      </c>
      <c r="L2139" s="2">
        <v>1420260</v>
      </c>
      <c r="M2139" s="2">
        <v>880548</v>
      </c>
      <c r="N2139" s="2">
        <v>99954</v>
      </c>
      <c r="O2139" s="2">
        <v>58898</v>
      </c>
      <c r="P2139" t="s">
        <v>24</v>
      </c>
      <c r="Q2139" t="s">
        <v>24</v>
      </c>
    </row>
    <row r="2140" spans="1:17" x14ac:dyDescent="0.25">
      <c r="A2140" t="s">
        <v>7217</v>
      </c>
      <c r="B2140" t="s">
        <v>7218</v>
      </c>
      <c r="C2140" s="1">
        <v>41275</v>
      </c>
      <c r="D2140" s="1">
        <v>41639</v>
      </c>
      <c r="E2140" t="s">
        <v>7219</v>
      </c>
      <c r="G2140" t="s">
        <v>1386</v>
      </c>
      <c r="H2140" t="s">
        <v>47</v>
      </c>
      <c r="I2140" t="str">
        <f>"48532"</f>
        <v>48532</v>
      </c>
      <c r="J2140" t="s">
        <v>22</v>
      </c>
      <c r="K2140" t="s">
        <v>91</v>
      </c>
      <c r="L2140" s="2">
        <v>1418660</v>
      </c>
      <c r="M2140" s="2">
        <v>1082913</v>
      </c>
      <c r="N2140" s="2">
        <v>0</v>
      </c>
      <c r="O2140" s="2">
        <v>4376</v>
      </c>
      <c r="P2140" t="s">
        <v>24</v>
      </c>
      <c r="Q2140" t="s">
        <v>24</v>
      </c>
    </row>
    <row r="2141" spans="1:17" x14ac:dyDescent="0.25">
      <c r="A2141" t="s">
        <v>6401</v>
      </c>
      <c r="B2141" t="s">
        <v>6402</v>
      </c>
      <c r="C2141" s="1">
        <v>41275</v>
      </c>
      <c r="D2141" s="1">
        <v>41639</v>
      </c>
      <c r="E2141" t="s">
        <v>6403</v>
      </c>
      <c r="G2141" t="s">
        <v>2269</v>
      </c>
      <c r="H2141" t="s">
        <v>47</v>
      </c>
      <c r="I2141" t="str">
        <f>"48430"</f>
        <v>48430</v>
      </c>
      <c r="J2141" t="s">
        <v>22</v>
      </c>
      <c r="K2141" t="s">
        <v>23</v>
      </c>
      <c r="L2141" s="2">
        <v>1417833</v>
      </c>
      <c r="M2141" s="2">
        <v>1008494</v>
      </c>
      <c r="N2141" s="2">
        <v>0</v>
      </c>
      <c r="O2141" s="2">
        <v>190954</v>
      </c>
      <c r="P2141" t="s">
        <v>24</v>
      </c>
      <c r="Q2141" t="s">
        <v>24</v>
      </c>
    </row>
    <row r="2142" spans="1:17" x14ac:dyDescent="0.25">
      <c r="A2142" t="s">
        <v>6622</v>
      </c>
      <c r="B2142" t="s">
        <v>6623</v>
      </c>
      <c r="C2142" s="1">
        <v>41275</v>
      </c>
      <c r="D2142" s="1">
        <v>41639</v>
      </c>
      <c r="E2142" t="s">
        <v>6624</v>
      </c>
      <c r="G2142" t="s">
        <v>139</v>
      </c>
      <c r="H2142" t="s">
        <v>47</v>
      </c>
      <c r="I2142" t="str">
        <f>"49503"</f>
        <v>49503</v>
      </c>
      <c r="J2142" t="s">
        <v>22</v>
      </c>
      <c r="K2142" t="s">
        <v>30</v>
      </c>
      <c r="L2142" s="2">
        <v>1417592</v>
      </c>
      <c r="M2142" s="2">
        <v>1621668</v>
      </c>
      <c r="N2142" s="2">
        <v>0</v>
      </c>
      <c r="O2142" s="2">
        <v>86572</v>
      </c>
      <c r="P2142" t="s">
        <v>24</v>
      </c>
      <c r="Q2142" t="s">
        <v>24</v>
      </c>
    </row>
    <row r="2143" spans="1:17" x14ac:dyDescent="0.25">
      <c r="A2143" t="s">
        <v>2789</v>
      </c>
      <c r="B2143" t="s">
        <v>2790</v>
      </c>
      <c r="C2143" s="1">
        <v>41275</v>
      </c>
      <c r="D2143" s="1">
        <v>41639</v>
      </c>
      <c r="E2143" t="s">
        <v>2791</v>
      </c>
      <c r="G2143" t="s">
        <v>167</v>
      </c>
      <c r="H2143" t="s">
        <v>62</v>
      </c>
      <c r="I2143" t="str">
        <f>"45202"</f>
        <v>45202</v>
      </c>
      <c r="J2143" t="s">
        <v>22</v>
      </c>
      <c r="K2143" t="s">
        <v>30</v>
      </c>
      <c r="L2143" s="2">
        <v>1416305</v>
      </c>
      <c r="M2143" s="2">
        <v>72800</v>
      </c>
      <c r="N2143" s="2">
        <v>400000</v>
      </c>
      <c r="O2143" s="2">
        <v>241849</v>
      </c>
      <c r="P2143" t="s">
        <v>24</v>
      </c>
      <c r="Q2143" t="s">
        <v>24</v>
      </c>
    </row>
    <row r="2144" spans="1:17" x14ac:dyDescent="0.25">
      <c r="A2144" t="s">
        <v>3639</v>
      </c>
      <c r="B2144" t="s">
        <v>3640</v>
      </c>
      <c r="C2144" s="1">
        <v>41275</v>
      </c>
      <c r="D2144" s="1">
        <v>41639</v>
      </c>
      <c r="E2144" t="s">
        <v>3641</v>
      </c>
      <c r="G2144" t="s">
        <v>2103</v>
      </c>
      <c r="H2144" t="s">
        <v>29</v>
      </c>
      <c r="I2144" t="str">
        <f>"60162"</f>
        <v>60162</v>
      </c>
      <c r="J2144" t="s">
        <v>22</v>
      </c>
      <c r="K2144" t="s">
        <v>30</v>
      </c>
      <c r="L2144" s="2">
        <v>1415833</v>
      </c>
      <c r="M2144" s="2">
        <v>228789</v>
      </c>
      <c r="N2144" s="2">
        <v>0</v>
      </c>
      <c r="O2144" s="2">
        <v>121077</v>
      </c>
      <c r="P2144" t="s">
        <v>24</v>
      </c>
      <c r="Q2144" t="s">
        <v>24</v>
      </c>
    </row>
    <row r="2145" spans="1:17" x14ac:dyDescent="0.25">
      <c r="A2145" t="s">
        <v>714</v>
      </c>
      <c r="B2145" t="s">
        <v>715</v>
      </c>
      <c r="C2145" s="1">
        <v>41275</v>
      </c>
      <c r="D2145" s="1">
        <v>41639</v>
      </c>
      <c r="E2145" t="s">
        <v>716</v>
      </c>
      <c r="G2145" t="s">
        <v>479</v>
      </c>
      <c r="H2145" t="s">
        <v>47</v>
      </c>
      <c r="I2145" t="str">
        <f>"49203"</f>
        <v>49203</v>
      </c>
      <c r="J2145" t="s">
        <v>22</v>
      </c>
      <c r="K2145" t="s">
        <v>30</v>
      </c>
      <c r="L2145" s="2">
        <v>1415554</v>
      </c>
      <c r="M2145" s="2">
        <v>372322</v>
      </c>
      <c r="N2145" s="2">
        <v>0</v>
      </c>
      <c r="O2145" s="2">
        <v>98226</v>
      </c>
      <c r="P2145" t="s">
        <v>24</v>
      </c>
      <c r="Q2145" t="s">
        <v>24</v>
      </c>
    </row>
    <row r="2146" spans="1:17" x14ac:dyDescent="0.25">
      <c r="A2146" t="s">
        <v>1962</v>
      </c>
      <c r="B2146" t="s">
        <v>1963</v>
      </c>
      <c r="C2146" s="1">
        <v>41275</v>
      </c>
      <c r="D2146" s="1">
        <v>41639</v>
      </c>
      <c r="E2146" t="s">
        <v>1964</v>
      </c>
      <c r="G2146" t="s">
        <v>1965</v>
      </c>
      <c r="H2146" t="s">
        <v>42</v>
      </c>
      <c r="I2146" t="str">
        <f>"53073"</f>
        <v>53073</v>
      </c>
      <c r="J2146" t="s">
        <v>22</v>
      </c>
      <c r="K2146" t="s">
        <v>30</v>
      </c>
      <c r="L2146" s="2">
        <v>1412979</v>
      </c>
      <c r="M2146" s="2">
        <v>770588</v>
      </c>
      <c r="N2146" s="2">
        <v>0</v>
      </c>
      <c r="O2146" s="2">
        <v>228524</v>
      </c>
      <c r="P2146" t="s">
        <v>24</v>
      </c>
      <c r="Q2146" t="s">
        <v>24</v>
      </c>
    </row>
    <row r="2147" spans="1:17" x14ac:dyDescent="0.25">
      <c r="A2147" t="s">
        <v>3434</v>
      </c>
      <c r="B2147" t="s">
        <v>3435</v>
      </c>
      <c r="C2147" s="1">
        <v>41548</v>
      </c>
      <c r="D2147" s="1">
        <v>41912</v>
      </c>
      <c r="E2147" t="s">
        <v>3436</v>
      </c>
      <c r="G2147" t="s">
        <v>371</v>
      </c>
      <c r="H2147" t="s">
        <v>29</v>
      </c>
      <c r="I2147" t="str">
        <f>"60062"</f>
        <v>60062</v>
      </c>
      <c r="J2147" t="s">
        <v>22</v>
      </c>
      <c r="K2147" t="s">
        <v>30</v>
      </c>
      <c r="L2147" s="2">
        <v>1412352</v>
      </c>
      <c r="M2147" s="2">
        <v>985002</v>
      </c>
      <c r="N2147" s="2">
        <v>0</v>
      </c>
      <c r="O2147" s="2">
        <v>98625</v>
      </c>
      <c r="P2147" t="s">
        <v>24</v>
      </c>
      <c r="Q2147" t="s">
        <v>24</v>
      </c>
    </row>
    <row r="2148" spans="1:17" x14ac:dyDescent="0.25">
      <c r="A2148" t="s">
        <v>3237</v>
      </c>
      <c r="B2148" t="s">
        <v>3238</v>
      </c>
      <c r="C2148" s="1">
        <v>41275</v>
      </c>
      <c r="D2148" s="1">
        <v>41639</v>
      </c>
      <c r="E2148" t="s">
        <v>1959</v>
      </c>
      <c r="G2148" t="s">
        <v>517</v>
      </c>
      <c r="H2148" t="s">
        <v>62</v>
      </c>
      <c r="I2148" t="str">
        <f>"45402"</f>
        <v>45402</v>
      </c>
      <c r="J2148" t="s">
        <v>22</v>
      </c>
      <c r="K2148" t="s">
        <v>23</v>
      </c>
      <c r="L2148" s="2">
        <v>1406316</v>
      </c>
      <c r="M2148" s="2">
        <v>510030</v>
      </c>
      <c r="N2148" s="2">
        <v>0</v>
      </c>
      <c r="O2148" s="2">
        <v>79281</v>
      </c>
      <c r="P2148" t="s">
        <v>24</v>
      </c>
      <c r="Q2148" t="s">
        <v>24</v>
      </c>
    </row>
    <row r="2149" spans="1:17" x14ac:dyDescent="0.25">
      <c r="A2149" t="s">
        <v>5324</v>
      </c>
      <c r="B2149" t="s">
        <v>5325</v>
      </c>
      <c r="C2149" s="1">
        <v>41275</v>
      </c>
      <c r="D2149" s="1">
        <v>41639</v>
      </c>
      <c r="E2149" t="s">
        <v>5326</v>
      </c>
      <c r="G2149" t="s">
        <v>5327</v>
      </c>
      <c r="H2149" t="s">
        <v>21</v>
      </c>
      <c r="I2149" t="str">
        <f>"46755"</f>
        <v>46755</v>
      </c>
      <c r="J2149" t="s">
        <v>22</v>
      </c>
      <c r="K2149" t="s">
        <v>30</v>
      </c>
      <c r="L2149" s="2">
        <v>1403383</v>
      </c>
      <c r="M2149" s="2">
        <v>291846</v>
      </c>
      <c r="N2149" s="2">
        <v>0</v>
      </c>
      <c r="O2149" s="2">
        <v>70588</v>
      </c>
      <c r="P2149" t="s">
        <v>24</v>
      </c>
      <c r="Q2149" t="s">
        <v>24</v>
      </c>
    </row>
    <row r="2150" spans="1:17" x14ac:dyDescent="0.25">
      <c r="A2150" t="s">
        <v>4787</v>
      </c>
      <c r="B2150" t="s">
        <v>4788</v>
      </c>
      <c r="C2150" s="1">
        <v>41456</v>
      </c>
      <c r="D2150" s="1">
        <v>41820</v>
      </c>
      <c r="E2150" t="s">
        <v>3072</v>
      </c>
      <c r="G2150" t="s">
        <v>28</v>
      </c>
      <c r="H2150" t="s">
        <v>29</v>
      </c>
      <c r="I2150" t="str">
        <f>"60603"</f>
        <v>60603</v>
      </c>
      <c r="J2150" t="s">
        <v>22</v>
      </c>
      <c r="K2150" t="s">
        <v>30</v>
      </c>
      <c r="L2150" s="2">
        <v>1396495</v>
      </c>
      <c r="M2150" s="2">
        <v>479682</v>
      </c>
      <c r="N2150" s="2">
        <v>0</v>
      </c>
      <c r="O2150" s="2">
        <v>142199</v>
      </c>
      <c r="P2150" t="s">
        <v>24</v>
      </c>
      <c r="Q2150" t="s">
        <v>24</v>
      </c>
    </row>
    <row r="2151" spans="1:17" x14ac:dyDescent="0.25">
      <c r="A2151" t="s">
        <v>748</v>
      </c>
      <c r="B2151" t="s">
        <v>749</v>
      </c>
      <c r="C2151" s="1">
        <v>40909</v>
      </c>
      <c r="D2151" s="1">
        <v>41274</v>
      </c>
      <c r="E2151" t="s">
        <v>750</v>
      </c>
      <c r="G2151" t="s">
        <v>751</v>
      </c>
      <c r="H2151" t="s">
        <v>62</v>
      </c>
      <c r="I2151" t="str">
        <f>"44144"</f>
        <v>44144</v>
      </c>
      <c r="J2151" t="s">
        <v>752</v>
      </c>
      <c r="K2151" t="s">
        <v>753</v>
      </c>
      <c r="L2151" s="2">
        <v>1394921</v>
      </c>
      <c r="M2151" s="2">
        <v>222311</v>
      </c>
      <c r="N2151" s="2">
        <v>0</v>
      </c>
      <c r="O2151" s="2">
        <v>77715</v>
      </c>
      <c r="P2151" t="s">
        <v>24</v>
      </c>
      <c r="Q2151" t="s">
        <v>24</v>
      </c>
    </row>
    <row r="2152" spans="1:17" x14ac:dyDescent="0.25">
      <c r="A2152" t="s">
        <v>4942</v>
      </c>
      <c r="B2152" t="s">
        <v>4943</v>
      </c>
      <c r="C2152" s="1">
        <v>41275</v>
      </c>
      <c r="D2152" s="1">
        <v>41639</v>
      </c>
      <c r="E2152" t="s">
        <v>4944</v>
      </c>
      <c r="G2152" t="s">
        <v>987</v>
      </c>
      <c r="H2152" t="s">
        <v>47</v>
      </c>
      <c r="I2152" t="str">
        <f>"48009"</f>
        <v>48009</v>
      </c>
      <c r="J2152" t="s">
        <v>22</v>
      </c>
      <c r="K2152" t="s">
        <v>23</v>
      </c>
      <c r="L2152" s="2">
        <v>1394569</v>
      </c>
      <c r="M2152" s="2">
        <v>943532</v>
      </c>
      <c r="N2152" s="2">
        <v>0</v>
      </c>
      <c r="O2152" s="2">
        <v>95297</v>
      </c>
      <c r="P2152" t="s">
        <v>24</v>
      </c>
      <c r="Q2152" t="s">
        <v>24</v>
      </c>
    </row>
    <row r="2153" spans="1:17" x14ac:dyDescent="0.25">
      <c r="A2153" t="s">
        <v>140</v>
      </c>
      <c r="B2153" t="s">
        <v>141</v>
      </c>
      <c r="C2153" s="1">
        <v>41548</v>
      </c>
      <c r="D2153" s="1">
        <v>41912</v>
      </c>
      <c r="E2153" t="s">
        <v>142</v>
      </c>
      <c r="G2153" t="s">
        <v>143</v>
      </c>
      <c r="H2153" t="s">
        <v>47</v>
      </c>
      <c r="I2153" t="str">
        <f>"48275"</f>
        <v>48275</v>
      </c>
      <c r="J2153" t="s">
        <v>22</v>
      </c>
      <c r="K2153" t="s">
        <v>30</v>
      </c>
      <c r="L2153" s="2">
        <v>1394334</v>
      </c>
      <c r="M2153" s="2">
        <v>122206</v>
      </c>
      <c r="N2153" s="2">
        <v>0</v>
      </c>
      <c r="O2153" s="2">
        <v>167566</v>
      </c>
      <c r="P2153" t="s">
        <v>24</v>
      </c>
      <c r="Q2153" t="s">
        <v>24</v>
      </c>
    </row>
    <row r="2154" spans="1:17" x14ac:dyDescent="0.25">
      <c r="A2154" t="s">
        <v>742</v>
      </c>
      <c r="B2154" t="s">
        <v>743</v>
      </c>
      <c r="C2154" s="1">
        <v>41275</v>
      </c>
      <c r="D2154" s="1">
        <v>41639</v>
      </c>
      <c r="E2154" t="s">
        <v>40</v>
      </c>
      <c r="G2154" t="s">
        <v>41</v>
      </c>
      <c r="H2154" t="s">
        <v>42</v>
      </c>
      <c r="I2154" t="str">
        <f>"53201"</f>
        <v>53201</v>
      </c>
      <c r="J2154" t="s">
        <v>22</v>
      </c>
      <c r="K2154" t="s">
        <v>30</v>
      </c>
      <c r="L2154" s="2">
        <v>1392877</v>
      </c>
      <c r="M2154" s="2">
        <v>557877</v>
      </c>
      <c r="N2154" s="2">
        <v>0</v>
      </c>
      <c r="O2154" s="2">
        <v>81104</v>
      </c>
      <c r="P2154" t="s">
        <v>24</v>
      </c>
      <c r="Q2154" t="s">
        <v>24</v>
      </c>
    </row>
    <row r="2155" spans="1:17" x14ac:dyDescent="0.25">
      <c r="A2155" t="s">
        <v>580</v>
      </c>
      <c r="B2155" t="s">
        <v>581</v>
      </c>
      <c r="C2155" s="1">
        <v>41275</v>
      </c>
      <c r="D2155" s="1">
        <v>41639</v>
      </c>
      <c r="E2155" t="s">
        <v>582</v>
      </c>
      <c r="G2155" t="s">
        <v>41</v>
      </c>
      <c r="H2155" t="s">
        <v>42</v>
      </c>
      <c r="I2155" t="str">
        <f>"53202"</f>
        <v>53202</v>
      </c>
      <c r="J2155" t="s">
        <v>22</v>
      </c>
      <c r="K2155" t="s">
        <v>30</v>
      </c>
      <c r="L2155" s="2">
        <v>1392810</v>
      </c>
      <c r="M2155" s="2">
        <v>389467</v>
      </c>
      <c r="N2155" s="2">
        <v>0</v>
      </c>
      <c r="O2155" s="2">
        <v>93607</v>
      </c>
      <c r="P2155" t="s">
        <v>24</v>
      </c>
      <c r="Q2155" t="s">
        <v>24</v>
      </c>
    </row>
    <row r="2156" spans="1:17" x14ac:dyDescent="0.25">
      <c r="A2156" t="s">
        <v>5624</v>
      </c>
      <c r="B2156" t="s">
        <v>5625</v>
      </c>
      <c r="C2156" s="1">
        <v>41275</v>
      </c>
      <c r="D2156" s="1">
        <v>41639</v>
      </c>
      <c r="E2156" t="s">
        <v>5626</v>
      </c>
      <c r="G2156" t="s">
        <v>5627</v>
      </c>
      <c r="H2156" t="s">
        <v>29</v>
      </c>
      <c r="I2156" t="str">
        <f>"60048"</f>
        <v>60048</v>
      </c>
      <c r="J2156" t="s">
        <v>22</v>
      </c>
      <c r="K2156" t="s">
        <v>91</v>
      </c>
      <c r="L2156" s="2">
        <v>1391922</v>
      </c>
      <c r="M2156" s="2">
        <v>52963</v>
      </c>
      <c r="N2156" s="2">
        <v>0</v>
      </c>
      <c r="O2156" s="2">
        <v>73939</v>
      </c>
      <c r="P2156" t="s">
        <v>24</v>
      </c>
      <c r="Q2156" t="s">
        <v>24</v>
      </c>
    </row>
    <row r="2157" spans="1:17" x14ac:dyDescent="0.25">
      <c r="A2157" t="s">
        <v>3635</v>
      </c>
      <c r="B2157" t="s">
        <v>3636</v>
      </c>
      <c r="E2157" t="s">
        <v>3637</v>
      </c>
      <c r="G2157" t="s">
        <v>3638</v>
      </c>
      <c r="H2157" t="s">
        <v>62</v>
      </c>
      <c r="I2157" t="str">
        <f>"44685"</f>
        <v>44685</v>
      </c>
      <c r="J2157" t="s">
        <v>22</v>
      </c>
      <c r="K2157" t="s">
        <v>91</v>
      </c>
      <c r="L2157" s="2">
        <v>1389145</v>
      </c>
      <c r="M2157" s="2">
        <v>281979</v>
      </c>
      <c r="N2157" s="2">
        <v>0</v>
      </c>
      <c r="O2157" t="s">
        <v>24</v>
      </c>
      <c r="P2157" t="s">
        <v>24</v>
      </c>
      <c r="Q2157" t="s">
        <v>24</v>
      </c>
    </row>
    <row r="2158" spans="1:17" x14ac:dyDescent="0.25">
      <c r="A2158" t="s">
        <v>1176</v>
      </c>
      <c r="B2158" t="s">
        <v>1177</v>
      </c>
      <c r="C2158" s="1">
        <v>41275</v>
      </c>
      <c r="D2158" s="1">
        <v>41639</v>
      </c>
      <c r="E2158" t="s">
        <v>1178</v>
      </c>
      <c r="G2158" t="s">
        <v>1179</v>
      </c>
      <c r="H2158" t="s">
        <v>47</v>
      </c>
      <c r="I2158" t="str">
        <f>"48375"</f>
        <v>48375</v>
      </c>
      <c r="J2158" t="s">
        <v>22</v>
      </c>
      <c r="K2158" t="s">
        <v>23</v>
      </c>
      <c r="L2158" s="2">
        <v>1385903</v>
      </c>
      <c r="M2158" s="2">
        <v>729110</v>
      </c>
      <c r="N2158" s="2">
        <v>0</v>
      </c>
      <c r="O2158" s="2">
        <v>73871</v>
      </c>
      <c r="P2158" t="s">
        <v>24</v>
      </c>
      <c r="Q2158" t="s">
        <v>24</v>
      </c>
    </row>
    <row r="2159" spans="1:17" x14ac:dyDescent="0.25">
      <c r="A2159" t="s">
        <v>5677</v>
      </c>
      <c r="B2159" t="s">
        <v>5678</v>
      </c>
      <c r="C2159" s="1">
        <v>41275</v>
      </c>
      <c r="D2159" s="1">
        <v>41639</v>
      </c>
      <c r="E2159" t="s">
        <v>3929</v>
      </c>
      <c r="G2159" t="s">
        <v>303</v>
      </c>
      <c r="H2159" t="s">
        <v>47</v>
      </c>
      <c r="I2159" t="str">
        <f>"49635"</f>
        <v>49635</v>
      </c>
      <c r="J2159" t="s">
        <v>22</v>
      </c>
      <c r="K2159" t="s">
        <v>23</v>
      </c>
      <c r="L2159" s="2">
        <v>1383947</v>
      </c>
      <c r="M2159" s="2">
        <v>318119</v>
      </c>
      <c r="N2159" s="2">
        <v>0</v>
      </c>
      <c r="O2159" s="2">
        <v>73263</v>
      </c>
      <c r="P2159" t="s">
        <v>24</v>
      </c>
      <c r="Q2159" t="s">
        <v>24</v>
      </c>
    </row>
    <row r="2160" spans="1:17" x14ac:dyDescent="0.25">
      <c r="A2160" t="s">
        <v>318</v>
      </c>
      <c r="B2160" t="s">
        <v>319</v>
      </c>
      <c r="C2160" s="1">
        <v>41275</v>
      </c>
      <c r="D2160" s="1">
        <v>41639</v>
      </c>
      <c r="E2160" t="s">
        <v>320</v>
      </c>
      <c r="G2160" t="s">
        <v>139</v>
      </c>
      <c r="H2160" t="s">
        <v>47</v>
      </c>
      <c r="I2160" t="str">
        <f>"49501"</f>
        <v>49501</v>
      </c>
      <c r="J2160" t="s">
        <v>63</v>
      </c>
      <c r="K2160" t="s">
        <v>30</v>
      </c>
      <c r="L2160" s="2">
        <v>1381644</v>
      </c>
      <c r="M2160" s="2">
        <v>73042</v>
      </c>
      <c r="N2160" s="2">
        <v>0</v>
      </c>
      <c r="O2160" s="2">
        <v>66404</v>
      </c>
      <c r="P2160" s="2">
        <v>23384</v>
      </c>
      <c r="Q2160" s="2">
        <v>0</v>
      </c>
    </row>
    <row r="2161" spans="1:17" x14ac:dyDescent="0.25">
      <c r="A2161" t="s">
        <v>5456</v>
      </c>
      <c r="B2161" t="s">
        <v>5457</v>
      </c>
      <c r="C2161" s="1">
        <v>41275</v>
      </c>
      <c r="D2161" s="1">
        <v>41639</v>
      </c>
      <c r="E2161" t="s">
        <v>5458</v>
      </c>
      <c r="G2161" t="s">
        <v>28</v>
      </c>
      <c r="H2161" t="s">
        <v>29</v>
      </c>
      <c r="I2161" t="str">
        <f>"60606"</f>
        <v>60606</v>
      </c>
      <c r="J2161" t="s">
        <v>22</v>
      </c>
      <c r="K2161" t="s">
        <v>30</v>
      </c>
      <c r="L2161" s="2">
        <v>1378726</v>
      </c>
      <c r="M2161" s="2">
        <v>27409</v>
      </c>
      <c r="N2161" s="2">
        <v>0</v>
      </c>
      <c r="O2161" s="2">
        <v>133383</v>
      </c>
      <c r="P2161" t="s">
        <v>24</v>
      </c>
      <c r="Q2161" t="s">
        <v>24</v>
      </c>
    </row>
    <row r="2162" spans="1:17" x14ac:dyDescent="0.25">
      <c r="A2162" t="s">
        <v>1434</v>
      </c>
      <c r="B2162" t="s">
        <v>1435</v>
      </c>
      <c r="C2162" s="1">
        <v>41244</v>
      </c>
      <c r="D2162" s="1">
        <v>41608</v>
      </c>
      <c r="E2162" t="s">
        <v>1436</v>
      </c>
      <c r="G2162" t="s">
        <v>1437</v>
      </c>
      <c r="H2162" t="s">
        <v>29</v>
      </c>
      <c r="I2162" t="str">
        <f>"60076"</f>
        <v>60076</v>
      </c>
      <c r="J2162" t="s">
        <v>22</v>
      </c>
      <c r="K2162" t="s">
        <v>23</v>
      </c>
      <c r="L2162" s="2">
        <v>1377322</v>
      </c>
      <c r="M2162" s="2">
        <v>661345</v>
      </c>
      <c r="N2162" s="2">
        <v>0</v>
      </c>
      <c r="O2162" s="2">
        <v>78339</v>
      </c>
      <c r="P2162" t="s">
        <v>24</v>
      </c>
      <c r="Q2162" t="s">
        <v>24</v>
      </c>
    </row>
    <row r="2163" spans="1:17" x14ac:dyDescent="0.25">
      <c r="A2163" t="s">
        <v>2455</v>
      </c>
      <c r="B2163" t="s">
        <v>2456</v>
      </c>
      <c r="C2163" s="1">
        <v>41275</v>
      </c>
      <c r="D2163" s="1">
        <v>41639</v>
      </c>
      <c r="E2163" t="s">
        <v>163</v>
      </c>
      <c r="G2163" t="s">
        <v>28</v>
      </c>
      <c r="H2163" t="s">
        <v>29</v>
      </c>
      <c r="I2163" t="str">
        <f>"60603"</f>
        <v>60603</v>
      </c>
      <c r="J2163" t="s">
        <v>22</v>
      </c>
      <c r="K2163" t="s">
        <v>23</v>
      </c>
      <c r="L2163" s="2">
        <v>1376709</v>
      </c>
      <c r="M2163" s="2">
        <v>463034</v>
      </c>
      <c r="N2163" s="2">
        <v>0</v>
      </c>
      <c r="O2163" s="2">
        <v>68720</v>
      </c>
      <c r="P2163" t="s">
        <v>24</v>
      </c>
      <c r="Q2163" t="s">
        <v>24</v>
      </c>
    </row>
    <row r="2164" spans="1:17" x14ac:dyDescent="0.25">
      <c r="A2164" t="s">
        <v>5739</v>
      </c>
      <c r="B2164" t="s">
        <v>5740</v>
      </c>
      <c r="C2164" s="1">
        <v>41275</v>
      </c>
      <c r="D2164" s="1">
        <v>41639</v>
      </c>
      <c r="E2164" t="s">
        <v>50</v>
      </c>
      <c r="G2164" t="s">
        <v>28</v>
      </c>
      <c r="H2164" t="s">
        <v>29</v>
      </c>
      <c r="I2164" t="str">
        <f>"60603"</f>
        <v>60603</v>
      </c>
      <c r="J2164" t="s">
        <v>22</v>
      </c>
      <c r="K2164" t="s">
        <v>30</v>
      </c>
      <c r="L2164" s="2">
        <v>1376205</v>
      </c>
      <c r="M2164" s="2">
        <v>835279</v>
      </c>
      <c r="N2164" s="2">
        <v>0</v>
      </c>
      <c r="O2164" s="2">
        <v>72467</v>
      </c>
      <c r="P2164" t="s">
        <v>24</v>
      </c>
      <c r="Q2164" t="s">
        <v>24</v>
      </c>
    </row>
    <row r="2165" spans="1:17" x14ac:dyDescent="0.25">
      <c r="A2165" t="s">
        <v>2037</v>
      </c>
      <c r="B2165" t="s">
        <v>2038</v>
      </c>
      <c r="C2165" s="1">
        <v>41275</v>
      </c>
      <c r="D2165" s="1">
        <v>41639</v>
      </c>
      <c r="E2165" t="s">
        <v>2039</v>
      </c>
      <c r="G2165" t="s">
        <v>28</v>
      </c>
      <c r="H2165" t="s">
        <v>29</v>
      </c>
      <c r="I2165" t="str">
        <f>"60604"</f>
        <v>60604</v>
      </c>
      <c r="J2165" t="s">
        <v>22</v>
      </c>
      <c r="K2165" t="s">
        <v>79</v>
      </c>
      <c r="L2165" s="2">
        <v>1373723</v>
      </c>
      <c r="M2165" s="2">
        <v>517339</v>
      </c>
      <c r="N2165" s="2">
        <v>0</v>
      </c>
      <c r="O2165" s="2">
        <v>230214</v>
      </c>
      <c r="P2165" t="s">
        <v>24</v>
      </c>
      <c r="Q2165" t="s">
        <v>24</v>
      </c>
    </row>
    <row r="2166" spans="1:17" x14ac:dyDescent="0.25">
      <c r="A2166" t="s">
        <v>2887</v>
      </c>
      <c r="B2166" t="s">
        <v>2888</v>
      </c>
      <c r="C2166" s="1">
        <v>40909</v>
      </c>
      <c r="D2166" s="1">
        <v>41274</v>
      </c>
      <c r="E2166" t="s">
        <v>236</v>
      </c>
      <c r="G2166" t="s">
        <v>237</v>
      </c>
      <c r="H2166" t="s">
        <v>42</v>
      </c>
      <c r="I2166" t="str">
        <f>"54601"</f>
        <v>54601</v>
      </c>
      <c r="J2166" t="s">
        <v>22</v>
      </c>
      <c r="K2166" t="s">
        <v>30</v>
      </c>
      <c r="L2166" s="2">
        <v>1373207</v>
      </c>
      <c r="M2166" s="2">
        <v>703042</v>
      </c>
      <c r="N2166" s="2">
        <v>0</v>
      </c>
      <c r="O2166" s="2">
        <v>1680056</v>
      </c>
      <c r="P2166" t="s">
        <v>24</v>
      </c>
      <c r="Q2166" t="s">
        <v>24</v>
      </c>
    </row>
    <row r="2167" spans="1:17" x14ac:dyDescent="0.25">
      <c r="A2167" t="s">
        <v>2508</v>
      </c>
      <c r="B2167" t="s">
        <v>2509</v>
      </c>
      <c r="C2167" s="1">
        <v>41275</v>
      </c>
      <c r="D2167" s="1">
        <v>41639</v>
      </c>
      <c r="E2167" t="s">
        <v>2510</v>
      </c>
      <c r="G2167" t="s">
        <v>337</v>
      </c>
      <c r="H2167" t="s">
        <v>62</v>
      </c>
      <c r="I2167" t="str">
        <f>"44113"</f>
        <v>44113</v>
      </c>
      <c r="J2167" t="s">
        <v>22</v>
      </c>
      <c r="K2167" t="s">
        <v>23</v>
      </c>
      <c r="L2167" s="2">
        <v>1373007</v>
      </c>
      <c r="M2167" s="2">
        <v>63428</v>
      </c>
      <c r="N2167" s="2">
        <v>0</v>
      </c>
      <c r="O2167" s="2">
        <v>96875</v>
      </c>
      <c r="P2167" t="s">
        <v>24</v>
      </c>
      <c r="Q2167" t="s">
        <v>24</v>
      </c>
    </row>
    <row r="2168" spans="1:17" x14ac:dyDescent="0.25">
      <c r="A2168" t="s">
        <v>3597</v>
      </c>
      <c r="B2168" t="s">
        <v>3598</v>
      </c>
      <c r="C2168" s="1">
        <v>40909</v>
      </c>
      <c r="D2168" s="1">
        <v>41274</v>
      </c>
      <c r="E2168" t="s">
        <v>40</v>
      </c>
      <c r="G2168" t="s">
        <v>41</v>
      </c>
      <c r="H2168" t="s">
        <v>42</v>
      </c>
      <c r="I2168" t="str">
        <f>"53201"</f>
        <v>53201</v>
      </c>
      <c r="J2168" t="s">
        <v>22</v>
      </c>
      <c r="K2168" t="s">
        <v>30</v>
      </c>
      <c r="L2168" s="2">
        <v>1371305</v>
      </c>
      <c r="M2168" s="2">
        <v>421422</v>
      </c>
      <c r="N2168" s="2">
        <v>1000</v>
      </c>
      <c r="O2168" s="2">
        <v>79674</v>
      </c>
      <c r="P2168" t="s">
        <v>24</v>
      </c>
      <c r="Q2168" t="s">
        <v>24</v>
      </c>
    </row>
    <row r="2169" spans="1:17" x14ac:dyDescent="0.25">
      <c r="A2169" t="s">
        <v>5428</v>
      </c>
      <c r="B2169" t="s">
        <v>5429</v>
      </c>
      <c r="C2169" s="1">
        <v>41275</v>
      </c>
      <c r="D2169" s="1">
        <v>41639</v>
      </c>
      <c r="E2169" t="s">
        <v>5430</v>
      </c>
      <c r="G2169" t="s">
        <v>357</v>
      </c>
      <c r="H2169" t="s">
        <v>21</v>
      </c>
      <c r="I2169" t="str">
        <f>"46804"</f>
        <v>46804</v>
      </c>
      <c r="J2169" t="s">
        <v>22</v>
      </c>
      <c r="K2169" t="s">
        <v>23</v>
      </c>
      <c r="L2169" s="2">
        <v>1370112</v>
      </c>
      <c r="M2169" s="2">
        <v>768458</v>
      </c>
      <c r="N2169" s="2">
        <v>0</v>
      </c>
      <c r="O2169" s="2">
        <v>79695</v>
      </c>
      <c r="P2169" t="s">
        <v>24</v>
      </c>
      <c r="Q2169" t="s">
        <v>24</v>
      </c>
    </row>
    <row r="2170" spans="1:17" x14ac:dyDescent="0.25">
      <c r="A2170" t="s">
        <v>2855</v>
      </c>
      <c r="B2170" t="s">
        <v>2856</v>
      </c>
      <c r="C2170" s="1">
        <v>41487</v>
      </c>
      <c r="D2170" s="1">
        <v>41851</v>
      </c>
      <c r="E2170" t="s">
        <v>2474</v>
      </c>
      <c r="G2170" t="s">
        <v>2475</v>
      </c>
      <c r="H2170" t="s">
        <v>29</v>
      </c>
      <c r="I2170" t="str">
        <f>"62002"</f>
        <v>62002</v>
      </c>
      <c r="J2170" t="s">
        <v>22</v>
      </c>
      <c r="K2170" t="s">
        <v>30</v>
      </c>
      <c r="L2170" s="2">
        <v>1366638</v>
      </c>
      <c r="M2170" s="2">
        <v>46629</v>
      </c>
      <c r="N2170" s="2">
        <v>0</v>
      </c>
      <c r="O2170" s="2">
        <v>77141</v>
      </c>
      <c r="P2170" t="s">
        <v>24</v>
      </c>
      <c r="Q2170" t="s">
        <v>24</v>
      </c>
    </row>
    <row r="2171" spans="1:17" x14ac:dyDescent="0.25">
      <c r="A2171" t="s">
        <v>6166</v>
      </c>
      <c r="B2171" t="s">
        <v>6167</v>
      </c>
      <c r="C2171" s="1">
        <v>41275</v>
      </c>
      <c r="D2171" s="1">
        <v>41639</v>
      </c>
      <c r="E2171" t="s">
        <v>6168</v>
      </c>
      <c r="G2171" t="s">
        <v>6169</v>
      </c>
      <c r="H2171" t="s">
        <v>62</v>
      </c>
      <c r="I2171" t="str">
        <f>"43571"</f>
        <v>43571</v>
      </c>
      <c r="J2171" t="s">
        <v>63</v>
      </c>
      <c r="K2171" t="s">
        <v>23</v>
      </c>
      <c r="L2171" s="2">
        <v>1364092</v>
      </c>
      <c r="M2171" s="2">
        <v>459426</v>
      </c>
      <c r="N2171" s="2">
        <v>30210</v>
      </c>
      <c r="O2171" s="2">
        <v>317581</v>
      </c>
      <c r="P2171" s="2">
        <v>44181</v>
      </c>
      <c r="Q2171" s="2">
        <v>67744</v>
      </c>
    </row>
    <row r="2172" spans="1:17" x14ac:dyDescent="0.25">
      <c r="A2172" t="s">
        <v>5536</v>
      </c>
      <c r="B2172" t="s">
        <v>5537</v>
      </c>
      <c r="C2172" s="1">
        <v>41275</v>
      </c>
      <c r="D2172" s="1">
        <v>41639</v>
      </c>
      <c r="E2172" t="s">
        <v>750</v>
      </c>
      <c r="G2172" t="s">
        <v>751</v>
      </c>
      <c r="H2172" t="s">
        <v>62</v>
      </c>
      <c r="I2172" t="str">
        <f>"44144"</f>
        <v>44144</v>
      </c>
      <c r="J2172" t="s">
        <v>22</v>
      </c>
      <c r="K2172" t="s">
        <v>23</v>
      </c>
      <c r="L2172" s="2">
        <v>1357139</v>
      </c>
      <c r="M2172" s="2">
        <v>266821</v>
      </c>
      <c r="N2172" s="2">
        <v>0</v>
      </c>
      <c r="O2172" s="2">
        <v>112887</v>
      </c>
      <c r="P2172" t="s">
        <v>24</v>
      </c>
      <c r="Q2172" t="s">
        <v>24</v>
      </c>
    </row>
    <row r="2173" spans="1:17" x14ac:dyDescent="0.25">
      <c r="A2173" t="s">
        <v>3869</v>
      </c>
      <c r="B2173" t="s">
        <v>3870</v>
      </c>
      <c r="E2173" t="s">
        <v>3871</v>
      </c>
      <c r="G2173" t="s">
        <v>1792</v>
      </c>
      <c r="H2173" t="s">
        <v>47</v>
      </c>
      <c r="I2173" t="str">
        <f>"48302"</f>
        <v>48302</v>
      </c>
      <c r="J2173" t="s">
        <v>22</v>
      </c>
      <c r="K2173" t="s">
        <v>30</v>
      </c>
      <c r="L2173" s="2">
        <v>1354773</v>
      </c>
      <c r="M2173" s="2">
        <v>36612</v>
      </c>
      <c r="N2173" s="2">
        <v>0</v>
      </c>
      <c r="O2173" t="s">
        <v>24</v>
      </c>
      <c r="P2173" t="s">
        <v>24</v>
      </c>
      <c r="Q2173" t="s">
        <v>24</v>
      </c>
    </row>
    <row r="2174" spans="1:17" x14ac:dyDescent="0.25">
      <c r="A2174" t="s">
        <v>3312</v>
      </c>
      <c r="B2174" t="s">
        <v>3313</v>
      </c>
      <c r="C2174" s="1">
        <v>41275</v>
      </c>
      <c r="D2174" s="1">
        <v>41639</v>
      </c>
      <c r="E2174" t="s">
        <v>50</v>
      </c>
      <c r="G2174" t="s">
        <v>28</v>
      </c>
      <c r="H2174" t="s">
        <v>29</v>
      </c>
      <c r="I2174" t="str">
        <f>"60603"</f>
        <v>60603</v>
      </c>
      <c r="J2174" t="s">
        <v>22</v>
      </c>
      <c r="K2174" t="s">
        <v>23</v>
      </c>
      <c r="L2174" s="2">
        <v>1351927</v>
      </c>
      <c r="M2174" s="2">
        <v>500269</v>
      </c>
      <c r="N2174" s="2">
        <v>0</v>
      </c>
      <c r="O2174" s="2">
        <v>75572</v>
      </c>
      <c r="P2174" t="s">
        <v>24</v>
      </c>
      <c r="Q2174" t="s">
        <v>24</v>
      </c>
    </row>
    <row r="2175" spans="1:17" x14ac:dyDescent="0.25">
      <c r="A2175" t="s">
        <v>7170</v>
      </c>
      <c r="B2175" t="s">
        <v>7171</v>
      </c>
      <c r="C2175" s="1">
        <v>41275</v>
      </c>
      <c r="D2175" s="1">
        <v>41639</v>
      </c>
      <c r="E2175" t="s">
        <v>7172</v>
      </c>
      <c r="G2175" t="s">
        <v>2759</v>
      </c>
      <c r="H2175" t="s">
        <v>29</v>
      </c>
      <c r="I2175" t="str">
        <f>"60093"</f>
        <v>60093</v>
      </c>
      <c r="J2175" t="s">
        <v>22</v>
      </c>
      <c r="K2175" t="s">
        <v>23</v>
      </c>
      <c r="L2175" s="2">
        <v>1351280</v>
      </c>
      <c r="M2175" s="2">
        <v>1403206</v>
      </c>
      <c r="N2175" s="2">
        <v>0</v>
      </c>
      <c r="O2175" s="2">
        <v>88794</v>
      </c>
      <c r="P2175" t="s">
        <v>24</v>
      </c>
      <c r="Q2175" t="s">
        <v>24</v>
      </c>
    </row>
    <row r="2176" spans="1:17" x14ac:dyDescent="0.25">
      <c r="A2176" t="s">
        <v>300</v>
      </c>
      <c r="B2176" t="s">
        <v>301</v>
      </c>
      <c r="C2176" s="1">
        <v>41275</v>
      </c>
      <c r="D2176" s="1">
        <v>41639</v>
      </c>
      <c r="E2176" t="s">
        <v>302</v>
      </c>
      <c r="G2176" t="s">
        <v>303</v>
      </c>
      <c r="H2176" t="s">
        <v>78</v>
      </c>
      <c r="I2176" t="str">
        <f>"40604"</f>
        <v>40604</v>
      </c>
      <c r="J2176" t="s">
        <v>22</v>
      </c>
      <c r="K2176" t="s">
        <v>23</v>
      </c>
      <c r="L2176" s="2">
        <v>1350262</v>
      </c>
      <c r="M2176" s="2">
        <v>71639</v>
      </c>
      <c r="N2176" s="2">
        <v>0</v>
      </c>
      <c r="O2176" s="2">
        <v>154536</v>
      </c>
      <c r="P2176" t="s">
        <v>24</v>
      </c>
      <c r="Q2176" t="s">
        <v>24</v>
      </c>
    </row>
    <row r="2177" spans="1:17" x14ac:dyDescent="0.25">
      <c r="A2177" t="s">
        <v>975</v>
      </c>
      <c r="B2177" t="s">
        <v>976</v>
      </c>
      <c r="C2177" s="1">
        <v>41275</v>
      </c>
      <c r="D2177" s="1">
        <v>41639</v>
      </c>
      <c r="E2177" t="s">
        <v>40</v>
      </c>
      <c r="G2177" t="s">
        <v>41</v>
      </c>
      <c r="H2177" t="s">
        <v>42</v>
      </c>
      <c r="I2177" t="str">
        <f>"53201"</f>
        <v>53201</v>
      </c>
      <c r="J2177" t="s">
        <v>22</v>
      </c>
      <c r="K2177" t="s">
        <v>30</v>
      </c>
      <c r="L2177" s="2">
        <v>1349514</v>
      </c>
      <c r="M2177" s="2">
        <v>426214</v>
      </c>
      <c r="N2177" s="2">
        <v>0</v>
      </c>
      <c r="O2177" s="2">
        <v>78832</v>
      </c>
      <c r="P2177" t="s">
        <v>24</v>
      </c>
      <c r="Q2177" t="s">
        <v>24</v>
      </c>
    </row>
    <row r="2178" spans="1:17" x14ac:dyDescent="0.25">
      <c r="A2178" t="s">
        <v>1592</v>
      </c>
      <c r="B2178" t="s">
        <v>1593</v>
      </c>
      <c r="C2178" s="1">
        <v>41548</v>
      </c>
      <c r="D2178" s="1">
        <v>41912</v>
      </c>
      <c r="E2178" t="s">
        <v>1594</v>
      </c>
      <c r="G2178" t="s">
        <v>77</v>
      </c>
      <c r="H2178" t="s">
        <v>78</v>
      </c>
      <c r="I2178" t="str">
        <f>"40232"</f>
        <v>40232</v>
      </c>
      <c r="J2178" t="s">
        <v>22</v>
      </c>
      <c r="K2178" t="s">
        <v>23</v>
      </c>
      <c r="L2178" s="2">
        <v>1349493</v>
      </c>
      <c r="M2178" s="2">
        <v>433536</v>
      </c>
      <c r="N2178" s="2">
        <v>0</v>
      </c>
      <c r="O2178" s="2">
        <v>75452</v>
      </c>
      <c r="P2178" t="s">
        <v>24</v>
      </c>
      <c r="Q2178" t="s">
        <v>24</v>
      </c>
    </row>
    <row r="2179" spans="1:17" x14ac:dyDescent="0.25">
      <c r="A2179" t="s">
        <v>3228</v>
      </c>
      <c r="B2179" t="s">
        <v>3229</v>
      </c>
      <c r="C2179" s="1">
        <v>41275</v>
      </c>
      <c r="D2179" s="1">
        <v>41639</v>
      </c>
      <c r="E2179" t="s">
        <v>3230</v>
      </c>
      <c r="G2179" t="s">
        <v>143</v>
      </c>
      <c r="H2179" t="s">
        <v>47</v>
      </c>
      <c r="I2179" t="str">
        <f>"48207"</f>
        <v>48207</v>
      </c>
      <c r="J2179" t="s">
        <v>22</v>
      </c>
      <c r="K2179" t="s">
        <v>30</v>
      </c>
      <c r="L2179" s="2">
        <v>1349068</v>
      </c>
      <c r="M2179" s="2">
        <v>307235</v>
      </c>
      <c r="N2179" s="2">
        <v>0</v>
      </c>
      <c r="O2179" s="2">
        <v>77725</v>
      </c>
      <c r="P2179" t="s">
        <v>24</v>
      </c>
      <c r="Q2179" t="s">
        <v>24</v>
      </c>
    </row>
    <row r="2180" spans="1:17" x14ac:dyDescent="0.25">
      <c r="A2180" t="s">
        <v>3894</v>
      </c>
      <c r="B2180" t="s">
        <v>3895</v>
      </c>
      <c r="C2180" s="1">
        <v>41275</v>
      </c>
      <c r="D2180" s="1">
        <v>41639</v>
      </c>
      <c r="E2180" t="s">
        <v>104</v>
      </c>
      <c r="G2180" t="s">
        <v>28</v>
      </c>
      <c r="H2180" t="s">
        <v>29</v>
      </c>
      <c r="I2180" t="str">
        <f>"60680"</f>
        <v>60680</v>
      </c>
      <c r="J2180" t="s">
        <v>22</v>
      </c>
      <c r="K2180" t="s">
        <v>30</v>
      </c>
      <c r="L2180" s="2">
        <v>1348645</v>
      </c>
      <c r="M2180" s="2">
        <v>286263</v>
      </c>
      <c r="N2180" s="2">
        <v>0</v>
      </c>
      <c r="O2180" s="2">
        <v>463916</v>
      </c>
      <c r="P2180" t="s">
        <v>24</v>
      </c>
      <c r="Q2180" t="s">
        <v>24</v>
      </c>
    </row>
    <row r="2181" spans="1:17" x14ac:dyDescent="0.25">
      <c r="A2181" t="s">
        <v>2365</v>
      </c>
      <c r="B2181" t="s">
        <v>2366</v>
      </c>
      <c r="C2181" s="1">
        <v>41275</v>
      </c>
      <c r="D2181" s="1">
        <v>41639</v>
      </c>
      <c r="E2181" t="s">
        <v>2331</v>
      </c>
      <c r="G2181" t="s">
        <v>1560</v>
      </c>
      <c r="H2181" t="s">
        <v>21</v>
      </c>
      <c r="I2181" t="str">
        <f>"46634"</f>
        <v>46634</v>
      </c>
      <c r="J2181" t="s">
        <v>22</v>
      </c>
      <c r="K2181" t="s">
        <v>30</v>
      </c>
      <c r="L2181" s="2">
        <v>1348550</v>
      </c>
      <c r="M2181" s="2">
        <v>234719</v>
      </c>
      <c r="N2181" s="2">
        <v>0</v>
      </c>
      <c r="O2181" s="2">
        <v>76101</v>
      </c>
      <c r="P2181" t="s">
        <v>24</v>
      </c>
      <c r="Q2181" t="s">
        <v>24</v>
      </c>
    </row>
    <row r="2182" spans="1:17" x14ac:dyDescent="0.25">
      <c r="A2182" t="s">
        <v>4375</v>
      </c>
      <c r="B2182" t="s">
        <v>4376</v>
      </c>
      <c r="C2182" s="1">
        <v>41091</v>
      </c>
      <c r="D2182" s="1">
        <v>41455</v>
      </c>
      <c r="E2182" t="s">
        <v>4377</v>
      </c>
      <c r="G2182" t="s">
        <v>741</v>
      </c>
      <c r="H2182" t="s">
        <v>42</v>
      </c>
      <c r="I2182" t="str">
        <f>"54311"</f>
        <v>54311</v>
      </c>
      <c r="J2182" t="s">
        <v>22</v>
      </c>
      <c r="K2182" t="s">
        <v>23</v>
      </c>
      <c r="L2182" s="2">
        <v>1347070</v>
      </c>
      <c r="M2182" s="2">
        <v>373509</v>
      </c>
      <c r="N2182" s="2">
        <v>0</v>
      </c>
      <c r="O2182" s="2">
        <v>35695</v>
      </c>
      <c r="P2182" t="s">
        <v>24</v>
      </c>
      <c r="Q2182" t="s">
        <v>24</v>
      </c>
    </row>
    <row r="2183" spans="1:17" x14ac:dyDescent="0.25">
      <c r="A2183" t="s">
        <v>6737</v>
      </c>
      <c r="B2183" t="s">
        <v>6738</v>
      </c>
      <c r="C2183" s="1">
        <v>41275</v>
      </c>
      <c r="D2183" s="1">
        <v>41639</v>
      </c>
      <c r="E2183" t="s">
        <v>6739</v>
      </c>
      <c r="G2183" t="s">
        <v>20</v>
      </c>
      <c r="H2183" t="s">
        <v>21</v>
      </c>
      <c r="I2183" t="str">
        <f>"46240"</f>
        <v>46240</v>
      </c>
      <c r="J2183" t="s">
        <v>22</v>
      </c>
      <c r="K2183" t="s">
        <v>23</v>
      </c>
      <c r="L2183" s="2">
        <v>1346451</v>
      </c>
      <c r="M2183" s="2">
        <v>2760679</v>
      </c>
      <c r="N2183" s="2">
        <v>8038</v>
      </c>
      <c r="O2183" s="2">
        <v>135064</v>
      </c>
      <c r="P2183" t="s">
        <v>24</v>
      </c>
      <c r="Q2183" t="s">
        <v>24</v>
      </c>
    </row>
    <row r="2184" spans="1:17" x14ac:dyDescent="0.25">
      <c r="A2184" t="s">
        <v>4865</v>
      </c>
      <c r="B2184" t="s">
        <v>4866</v>
      </c>
      <c r="C2184" s="1">
        <v>40909</v>
      </c>
      <c r="D2184" s="1">
        <v>41274</v>
      </c>
      <c r="E2184" t="s">
        <v>4867</v>
      </c>
      <c r="G2184" t="s">
        <v>4868</v>
      </c>
      <c r="H2184" t="s">
        <v>62</v>
      </c>
      <c r="I2184" t="str">
        <f>"44143"</f>
        <v>44143</v>
      </c>
      <c r="J2184" t="s">
        <v>22</v>
      </c>
      <c r="K2184" t="s">
        <v>30</v>
      </c>
      <c r="L2184" s="2">
        <v>1345063</v>
      </c>
      <c r="M2184" s="2">
        <v>11049</v>
      </c>
      <c r="N2184" s="2">
        <v>1417356</v>
      </c>
      <c r="O2184" s="2">
        <v>71850</v>
      </c>
      <c r="P2184" t="s">
        <v>24</v>
      </c>
      <c r="Q2184" t="s">
        <v>24</v>
      </c>
    </row>
    <row r="2185" spans="1:17" x14ac:dyDescent="0.25">
      <c r="A2185" t="s">
        <v>5212</v>
      </c>
      <c r="B2185" t="s">
        <v>5213</v>
      </c>
      <c r="C2185" s="1">
        <v>41275</v>
      </c>
      <c r="D2185" s="1">
        <v>41639</v>
      </c>
      <c r="E2185" t="s">
        <v>5214</v>
      </c>
      <c r="G2185" t="s">
        <v>5215</v>
      </c>
      <c r="H2185" t="s">
        <v>29</v>
      </c>
      <c r="I2185" t="str">
        <f>"60148"</f>
        <v>60148</v>
      </c>
      <c r="J2185" t="s">
        <v>63</v>
      </c>
      <c r="K2185" t="s">
        <v>79</v>
      </c>
      <c r="L2185" s="2">
        <v>1343658</v>
      </c>
      <c r="M2185" s="2">
        <v>242404</v>
      </c>
      <c r="N2185" s="2">
        <v>822783</v>
      </c>
      <c r="O2185" s="2">
        <v>426164</v>
      </c>
      <c r="P2185" s="2">
        <v>124802</v>
      </c>
      <c r="Q2185" s="2">
        <v>0</v>
      </c>
    </row>
    <row r="2186" spans="1:17" x14ac:dyDescent="0.25">
      <c r="A2186" t="s">
        <v>5372</v>
      </c>
      <c r="B2186" t="s">
        <v>5373</v>
      </c>
      <c r="C2186" s="1">
        <v>41275</v>
      </c>
      <c r="D2186" s="1">
        <v>41639</v>
      </c>
      <c r="E2186" t="s">
        <v>163</v>
      </c>
      <c r="G2186" t="s">
        <v>28</v>
      </c>
      <c r="H2186" t="s">
        <v>29</v>
      </c>
      <c r="I2186" t="str">
        <f>"60603"</f>
        <v>60603</v>
      </c>
      <c r="J2186" t="s">
        <v>22</v>
      </c>
      <c r="K2186" t="s">
        <v>23</v>
      </c>
      <c r="L2186" s="2">
        <v>1342778</v>
      </c>
      <c r="M2186" s="2">
        <v>142015</v>
      </c>
      <c r="N2186" s="2">
        <v>0</v>
      </c>
      <c r="O2186" s="2">
        <v>69192</v>
      </c>
      <c r="P2186" t="s">
        <v>24</v>
      </c>
      <c r="Q2186" t="s">
        <v>24</v>
      </c>
    </row>
    <row r="2187" spans="1:17" x14ac:dyDescent="0.25">
      <c r="A2187" t="s">
        <v>1165</v>
      </c>
      <c r="B2187" t="s">
        <v>1166</v>
      </c>
      <c r="C2187" s="1">
        <v>41548</v>
      </c>
      <c r="D2187" s="1">
        <v>41912</v>
      </c>
      <c r="E2187" t="s">
        <v>1167</v>
      </c>
      <c r="G2187" t="s">
        <v>1168</v>
      </c>
      <c r="H2187" t="s">
        <v>47</v>
      </c>
      <c r="I2187" t="str">
        <f>"48130"</f>
        <v>48130</v>
      </c>
      <c r="J2187" t="s">
        <v>22</v>
      </c>
      <c r="K2187" t="s">
        <v>23</v>
      </c>
      <c r="L2187" s="2">
        <v>1342054</v>
      </c>
      <c r="M2187" s="2">
        <v>23769</v>
      </c>
      <c r="N2187" s="2">
        <v>8510</v>
      </c>
      <c r="O2187" s="2">
        <v>62791</v>
      </c>
      <c r="P2187" t="s">
        <v>24</v>
      </c>
      <c r="Q2187" t="s">
        <v>24</v>
      </c>
    </row>
    <row r="2188" spans="1:17" x14ac:dyDescent="0.25">
      <c r="A2188" t="s">
        <v>6654</v>
      </c>
      <c r="B2188" t="s">
        <v>6655</v>
      </c>
      <c r="C2188" s="1">
        <v>41244</v>
      </c>
      <c r="D2188" s="1">
        <v>41608</v>
      </c>
      <c r="E2188" t="s">
        <v>6656</v>
      </c>
      <c r="F2188" t="s">
        <v>6657</v>
      </c>
      <c r="G2188" t="s">
        <v>28</v>
      </c>
      <c r="H2188" t="s">
        <v>29</v>
      </c>
      <c r="I2188" t="str">
        <f>"60601"</f>
        <v>60601</v>
      </c>
      <c r="J2188" t="s">
        <v>63</v>
      </c>
      <c r="K2188" t="s">
        <v>6658</v>
      </c>
      <c r="L2188" s="2">
        <v>1340329</v>
      </c>
      <c r="M2188" s="2">
        <v>1663175</v>
      </c>
      <c r="N2188" s="2">
        <v>329850</v>
      </c>
      <c r="O2188" s="2">
        <v>939604</v>
      </c>
      <c r="P2188" s="2">
        <v>119057</v>
      </c>
      <c r="Q2188" s="2">
        <v>188000</v>
      </c>
    </row>
    <row r="2189" spans="1:17" x14ac:dyDescent="0.25">
      <c r="A2189" t="s">
        <v>756</v>
      </c>
      <c r="B2189" t="s">
        <v>757</v>
      </c>
      <c r="C2189" s="1">
        <v>41275</v>
      </c>
      <c r="D2189" s="1">
        <v>41639</v>
      </c>
      <c r="E2189" t="s">
        <v>758</v>
      </c>
      <c r="G2189" t="s">
        <v>759</v>
      </c>
      <c r="H2189" t="s">
        <v>21</v>
      </c>
      <c r="I2189" t="str">
        <f>"47130"</f>
        <v>47130</v>
      </c>
      <c r="J2189" t="s">
        <v>22</v>
      </c>
      <c r="K2189" t="s">
        <v>23</v>
      </c>
      <c r="L2189" s="2">
        <v>1339209</v>
      </c>
      <c r="M2189" s="2">
        <v>334350</v>
      </c>
      <c r="N2189" s="2">
        <v>0</v>
      </c>
      <c r="O2189" s="2">
        <v>76301</v>
      </c>
      <c r="P2189" t="s">
        <v>24</v>
      </c>
      <c r="Q2189" t="s">
        <v>24</v>
      </c>
    </row>
    <row r="2190" spans="1:17" x14ac:dyDescent="0.25">
      <c r="A2190" t="s">
        <v>2623</v>
      </c>
      <c r="B2190" t="s">
        <v>2624</v>
      </c>
      <c r="C2190" s="1">
        <v>40909</v>
      </c>
      <c r="D2190" s="1">
        <v>41274</v>
      </c>
      <c r="E2190" t="s">
        <v>2625</v>
      </c>
      <c r="G2190" t="s">
        <v>28</v>
      </c>
      <c r="H2190" t="s">
        <v>29</v>
      </c>
      <c r="I2190" t="str">
        <f>"60657"</f>
        <v>60657</v>
      </c>
      <c r="J2190" t="s">
        <v>22</v>
      </c>
      <c r="K2190" t="s">
        <v>30</v>
      </c>
      <c r="L2190" s="2">
        <v>1337584</v>
      </c>
      <c r="M2190" s="2">
        <v>520477</v>
      </c>
      <c r="N2190" s="2">
        <v>0</v>
      </c>
      <c r="O2190" s="2">
        <v>105876</v>
      </c>
      <c r="P2190" t="s">
        <v>24</v>
      </c>
      <c r="Q2190" t="s">
        <v>24</v>
      </c>
    </row>
    <row r="2191" spans="1:17" x14ac:dyDescent="0.25">
      <c r="A2191" t="s">
        <v>4895</v>
      </c>
      <c r="B2191" t="s">
        <v>4896</v>
      </c>
      <c r="C2191" s="1">
        <v>41456</v>
      </c>
      <c r="D2191" s="1">
        <v>41820</v>
      </c>
      <c r="E2191" t="s">
        <v>4897</v>
      </c>
      <c r="G2191" t="s">
        <v>1965</v>
      </c>
      <c r="H2191" t="s">
        <v>21</v>
      </c>
      <c r="I2191" t="str">
        <f>"46563"</f>
        <v>46563</v>
      </c>
      <c r="J2191" t="s">
        <v>63</v>
      </c>
      <c r="K2191" t="s">
        <v>79</v>
      </c>
      <c r="L2191" s="2">
        <v>1337274</v>
      </c>
      <c r="M2191" s="2">
        <v>208341</v>
      </c>
      <c r="N2191" s="2">
        <v>36953</v>
      </c>
      <c r="O2191" s="2">
        <v>254168</v>
      </c>
      <c r="P2191" s="2">
        <v>73188</v>
      </c>
      <c r="Q2191" s="2">
        <v>0</v>
      </c>
    </row>
    <row r="2192" spans="1:17" x14ac:dyDescent="0.25">
      <c r="A2192" t="s">
        <v>6448</v>
      </c>
      <c r="B2192" t="s">
        <v>6449</v>
      </c>
      <c r="C2192" s="1">
        <v>41275</v>
      </c>
      <c r="D2192" s="1">
        <v>41639</v>
      </c>
      <c r="E2192" t="s">
        <v>556</v>
      </c>
      <c r="G2192" t="s">
        <v>167</v>
      </c>
      <c r="H2192" t="s">
        <v>62</v>
      </c>
      <c r="I2192" t="str">
        <f>"45201"</f>
        <v>45201</v>
      </c>
      <c r="J2192" t="s">
        <v>22</v>
      </c>
      <c r="K2192" t="s">
        <v>23</v>
      </c>
      <c r="L2192" s="2">
        <v>1336040</v>
      </c>
      <c r="M2192" s="2">
        <v>2015868</v>
      </c>
      <c r="N2192" s="2">
        <v>0</v>
      </c>
      <c r="O2192" s="2">
        <v>82823</v>
      </c>
      <c r="P2192" t="s">
        <v>24</v>
      </c>
      <c r="Q2192" t="s">
        <v>24</v>
      </c>
    </row>
    <row r="2193" spans="1:17" x14ac:dyDescent="0.25">
      <c r="A2193" t="s">
        <v>904</v>
      </c>
      <c r="B2193" t="s">
        <v>905</v>
      </c>
      <c r="C2193" s="1">
        <v>41275</v>
      </c>
      <c r="D2193" s="1">
        <v>41639</v>
      </c>
      <c r="E2193" t="s">
        <v>906</v>
      </c>
      <c r="G2193" t="s">
        <v>907</v>
      </c>
      <c r="H2193" t="s">
        <v>29</v>
      </c>
      <c r="I2193" t="str">
        <f>"60010"</f>
        <v>60010</v>
      </c>
      <c r="J2193" t="s">
        <v>22</v>
      </c>
      <c r="K2193" t="s">
        <v>30</v>
      </c>
      <c r="L2193" s="2">
        <v>1335186</v>
      </c>
      <c r="M2193" s="2">
        <v>97394</v>
      </c>
      <c r="N2193" s="2">
        <v>0</v>
      </c>
      <c r="O2193" s="2">
        <v>67699</v>
      </c>
      <c r="P2193" t="s">
        <v>24</v>
      </c>
      <c r="Q2193" t="s">
        <v>24</v>
      </c>
    </row>
    <row r="2194" spans="1:17" x14ac:dyDescent="0.25">
      <c r="A2194" t="s">
        <v>3048</v>
      </c>
      <c r="B2194" t="s">
        <v>3049</v>
      </c>
      <c r="C2194" s="1">
        <v>41395</v>
      </c>
      <c r="D2194" s="1">
        <v>41759</v>
      </c>
      <c r="E2194" t="s">
        <v>1768</v>
      </c>
      <c r="G2194" t="s">
        <v>28</v>
      </c>
      <c r="H2194" t="s">
        <v>29</v>
      </c>
      <c r="I2194" t="str">
        <f>"60603"</f>
        <v>60603</v>
      </c>
      <c r="J2194" t="s">
        <v>63</v>
      </c>
      <c r="K2194" t="s">
        <v>30</v>
      </c>
      <c r="L2194" s="2">
        <v>1334416</v>
      </c>
      <c r="M2194" s="2">
        <v>82243</v>
      </c>
      <c r="N2194" s="2">
        <v>0</v>
      </c>
      <c r="O2194" s="2">
        <v>30934</v>
      </c>
      <c r="P2194" s="2">
        <v>59</v>
      </c>
      <c r="Q2194" t="s">
        <v>24</v>
      </c>
    </row>
    <row r="2195" spans="1:17" x14ac:dyDescent="0.25">
      <c r="A2195" t="s">
        <v>348</v>
      </c>
      <c r="B2195" t="s">
        <v>349</v>
      </c>
      <c r="C2195" s="1">
        <v>41275</v>
      </c>
      <c r="D2195" s="1">
        <v>41639</v>
      </c>
      <c r="E2195" t="s">
        <v>142</v>
      </c>
      <c r="G2195" t="s">
        <v>143</v>
      </c>
      <c r="H2195" t="s">
        <v>47</v>
      </c>
      <c r="I2195" t="str">
        <f>"48275"</f>
        <v>48275</v>
      </c>
      <c r="J2195" t="s">
        <v>22</v>
      </c>
      <c r="K2195" t="s">
        <v>30</v>
      </c>
      <c r="L2195" s="2">
        <v>1333583</v>
      </c>
      <c r="M2195" s="2">
        <v>179280</v>
      </c>
      <c r="N2195" s="2">
        <v>0</v>
      </c>
      <c r="O2195" s="2">
        <v>85706</v>
      </c>
      <c r="P2195" t="s">
        <v>24</v>
      </c>
      <c r="Q2195" t="s">
        <v>24</v>
      </c>
    </row>
    <row r="2196" spans="1:17" x14ac:dyDescent="0.25">
      <c r="A2196" t="s">
        <v>3191</v>
      </c>
      <c r="B2196" t="s">
        <v>3192</v>
      </c>
      <c r="C2196" s="1">
        <v>41275</v>
      </c>
      <c r="D2196" s="1">
        <v>41639</v>
      </c>
      <c r="E2196" t="s">
        <v>3193</v>
      </c>
      <c r="G2196" t="s">
        <v>28</v>
      </c>
      <c r="H2196" t="s">
        <v>29</v>
      </c>
      <c r="I2196" t="str">
        <f>"60606"</f>
        <v>60606</v>
      </c>
      <c r="J2196" t="s">
        <v>22</v>
      </c>
      <c r="K2196" t="s">
        <v>23</v>
      </c>
      <c r="L2196" s="2">
        <v>1333024</v>
      </c>
      <c r="M2196" s="2">
        <v>363803</v>
      </c>
      <c r="N2196" s="2">
        <v>0</v>
      </c>
      <c r="O2196" s="2">
        <v>109987</v>
      </c>
      <c r="P2196" t="s">
        <v>24</v>
      </c>
      <c r="Q2196" t="s">
        <v>24</v>
      </c>
    </row>
    <row r="2197" spans="1:17" x14ac:dyDescent="0.25">
      <c r="A2197" t="s">
        <v>4792</v>
      </c>
      <c r="B2197" t="s">
        <v>4793</v>
      </c>
      <c r="C2197" s="1">
        <v>41275</v>
      </c>
      <c r="D2197" s="1">
        <v>41639</v>
      </c>
      <c r="E2197" t="s">
        <v>4794</v>
      </c>
      <c r="G2197" t="s">
        <v>20</v>
      </c>
      <c r="H2197" t="s">
        <v>21</v>
      </c>
      <c r="I2197" t="str">
        <f>"46268"</f>
        <v>46268</v>
      </c>
      <c r="J2197" t="s">
        <v>22</v>
      </c>
      <c r="K2197" t="s">
        <v>30</v>
      </c>
      <c r="L2197" s="2">
        <v>1332801</v>
      </c>
      <c r="M2197" s="2">
        <v>3557653</v>
      </c>
      <c r="N2197" s="2">
        <v>0</v>
      </c>
      <c r="O2197" s="2">
        <v>0</v>
      </c>
      <c r="P2197" t="s">
        <v>24</v>
      </c>
      <c r="Q2197" t="s">
        <v>24</v>
      </c>
    </row>
    <row r="2198" spans="1:17" x14ac:dyDescent="0.25">
      <c r="A2198" t="s">
        <v>4341</v>
      </c>
      <c r="B2198" t="s">
        <v>4342</v>
      </c>
      <c r="C2198" s="1">
        <v>41275</v>
      </c>
      <c r="D2198" s="1">
        <v>41639</v>
      </c>
      <c r="E2198" t="s">
        <v>4343</v>
      </c>
      <c r="G2198" t="s">
        <v>191</v>
      </c>
      <c r="H2198" t="s">
        <v>47</v>
      </c>
      <c r="I2198" t="str">
        <f>"48187"</f>
        <v>48187</v>
      </c>
      <c r="J2198" t="s">
        <v>22</v>
      </c>
      <c r="K2198" t="s">
        <v>23</v>
      </c>
      <c r="L2198" s="2">
        <v>1332748</v>
      </c>
      <c r="M2198" s="2">
        <v>19416</v>
      </c>
      <c r="N2198" s="2">
        <v>0</v>
      </c>
      <c r="O2198" s="2">
        <v>51792</v>
      </c>
      <c r="P2198" t="s">
        <v>24</v>
      </c>
      <c r="Q2198" t="s">
        <v>24</v>
      </c>
    </row>
    <row r="2199" spans="1:17" x14ac:dyDescent="0.25">
      <c r="A2199" t="s">
        <v>5993</v>
      </c>
      <c r="B2199" t="s">
        <v>5994</v>
      </c>
      <c r="C2199" s="1">
        <v>41275</v>
      </c>
      <c r="D2199" s="1">
        <v>41639</v>
      </c>
      <c r="E2199" t="s">
        <v>556</v>
      </c>
      <c r="G2199" t="s">
        <v>167</v>
      </c>
      <c r="H2199" t="s">
        <v>62</v>
      </c>
      <c r="I2199" t="str">
        <f>"45201"</f>
        <v>45201</v>
      </c>
      <c r="J2199" t="s">
        <v>22</v>
      </c>
      <c r="K2199" t="s">
        <v>23</v>
      </c>
      <c r="L2199" s="2">
        <v>1332283</v>
      </c>
      <c r="M2199" s="2">
        <v>174034</v>
      </c>
      <c r="N2199" s="2">
        <v>0</v>
      </c>
      <c r="O2199" s="2">
        <v>71946</v>
      </c>
      <c r="P2199" t="s">
        <v>24</v>
      </c>
      <c r="Q2199" t="s">
        <v>24</v>
      </c>
    </row>
    <row r="2200" spans="1:17" x14ac:dyDescent="0.25">
      <c r="A2200" t="s">
        <v>7470</v>
      </c>
      <c r="B2200" t="s">
        <v>7471</v>
      </c>
      <c r="C2200" s="1">
        <v>41275</v>
      </c>
      <c r="D2200" s="1">
        <v>41639</v>
      </c>
      <c r="E2200" t="s">
        <v>5260</v>
      </c>
      <c r="G2200" t="s">
        <v>119</v>
      </c>
      <c r="H2200" t="s">
        <v>29</v>
      </c>
      <c r="I2200" t="str">
        <f>"60089"</f>
        <v>60089</v>
      </c>
      <c r="J2200" t="s">
        <v>22</v>
      </c>
      <c r="K2200" t="s">
        <v>23</v>
      </c>
      <c r="L2200" s="2">
        <v>1332133</v>
      </c>
      <c r="M2200" s="2">
        <v>4531651</v>
      </c>
      <c r="N2200" s="2">
        <v>3900000</v>
      </c>
      <c r="O2200" s="2">
        <v>4030185</v>
      </c>
      <c r="P2200" t="s">
        <v>24</v>
      </c>
      <c r="Q2200" t="s">
        <v>24</v>
      </c>
    </row>
    <row r="2201" spans="1:17" x14ac:dyDescent="0.25">
      <c r="A2201" t="s">
        <v>4956</v>
      </c>
      <c r="B2201" t="s">
        <v>4957</v>
      </c>
      <c r="C2201" s="1">
        <v>41275</v>
      </c>
      <c r="D2201" s="1">
        <v>41639</v>
      </c>
      <c r="E2201" t="s">
        <v>4958</v>
      </c>
      <c r="G2201" t="s">
        <v>4959</v>
      </c>
      <c r="H2201" t="s">
        <v>29</v>
      </c>
      <c r="I2201" t="str">
        <f>"61944"</f>
        <v>61944</v>
      </c>
      <c r="J2201" t="s">
        <v>22</v>
      </c>
      <c r="K2201" t="s">
        <v>30</v>
      </c>
      <c r="L2201" s="2">
        <v>1331824</v>
      </c>
      <c r="M2201" s="2">
        <v>84915</v>
      </c>
      <c r="N2201" s="2">
        <v>0</v>
      </c>
      <c r="O2201" s="2">
        <v>73460</v>
      </c>
      <c r="P2201" t="s">
        <v>24</v>
      </c>
      <c r="Q2201" t="s">
        <v>24</v>
      </c>
    </row>
    <row r="2202" spans="1:17" x14ac:dyDescent="0.25">
      <c r="A2202" t="s">
        <v>1723</v>
      </c>
      <c r="B2202" t="s">
        <v>1724</v>
      </c>
      <c r="C2202" s="1">
        <v>40909</v>
      </c>
      <c r="D2202" s="1">
        <v>41274</v>
      </c>
      <c r="E2202" t="s">
        <v>1725</v>
      </c>
      <c r="G2202" t="s">
        <v>1726</v>
      </c>
      <c r="H2202" t="s">
        <v>47</v>
      </c>
      <c r="I2202" t="str">
        <f>"48093"</f>
        <v>48093</v>
      </c>
      <c r="J2202" t="s">
        <v>22</v>
      </c>
      <c r="K2202" t="s">
        <v>30</v>
      </c>
      <c r="L2202" s="2">
        <v>1331690</v>
      </c>
      <c r="M2202" s="2">
        <v>248682</v>
      </c>
      <c r="N2202" s="2">
        <v>41839</v>
      </c>
      <c r="O2202" s="2">
        <v>66894</v>
      </c>
      <c r="P2202" t="s">
        <v>24</v>
      </c>
      <c r="Q2202" t="s">
        <v>24</v>
      </c>
    </row>
    <row r="2203" spans="1:17" x14ac:dyDescent="0.25">
      <c r="A2203" t="s">
        <v>622</v>
      </c>
      <c r="B2203" t="s">
        <v>623</v>
      </c>
      <c r="C2203" s="1">
        <v>41275</v>
      </c>
      <c r="D2203" s="1">
        <v>41639</v>
      </c>
      <c r="E2203" t="s">
        <v>40</v>
      </c>
      <c r="G2203" t="s">
        <v>41</v>
      </c>
      <c r="H2203" t="s">
        <v>42</v>
      </c>
      <c r="I2203" t="str">
        <f>"53201"</f>
        <v>53201</v>
      </c>
      <c r="J2203" t="s">
        <v>22</v>
      </c>
      <c r="K2203" t="s">
        <v>23</v>
      </c>
      <c r="L2203" s="2">
        <v>1330987</v>
      </c>
      <c r="M2203" s="2">
        <v>281431</v>
      </c>
      <c r="N2203" s="2">
        <v>0</v>
      </c>
      <c r="O2203" s="2">
        <v>73232</v>
      </c>
      <c r="P2203" t="s">
        <v>24</v>
      </c>
      <c r="Q2203" t="s">
        <v>24</v>
      </c>
    </row>
    <row r="2204" spans="1:17" x14ac:dyDescent="0.25">
      <c r="A2204" t="s">
        <v>7477</v>
      </c>
      <c r="B2204" t="s">
        <v>7478</v>
      </c>
      <c r="C2204" s="1">
        <v>41306</v>
      </c>
      <c r="D2204" s="1">
        <v>41670</v>
      </c>
      <c r="E2204" t="s">
        <v>7479</v>
      </c>
      <c r="G2204" t="s">
        <v>28</v>
      </c>
      <c r="H2204" t="s">
        <v>29</v>
      </c>
      <c r="I2204" t="str">
        <f>"60697"</f>
        <v>60697</v>
      </c>
      <c r="J2204" t="s">
        <v>22</v>
      </c>
      <c r="K2204" t="s">
        <v>30</v>
      </c>
      <c r="L2204" s="2">
        <v>1325083</v>
      </c>
      <c r="M2204" s="2">
        <v>1600305</v>
      </c>
      <c r="N2204" s="2">
        <v>0</v>
      </c>
      <c r="O2204" s="2">
        <v>153008</v>
      </c>
      <c r="P2204" t="s">
        <v>24</v>
      </c>
      <c r="Q2204" t="s">
        <v>24</v>
      </c>
    </row>
    <row r="2205" spans="1:17" x14ac:dyDescent="0.25">
      <c r="A2205" t="s">
        <v>5356</v>
      </c>
      <c r="B2205" t="s">
        <v>5357</v>
      </c>
      <c r="C2205" s="1">
        <v>41275</v>
      </c>
      <c r="D2205" s="1">
        <v>41639</v>
      </c>
      <c r="E2205" t="s">
        <v>5358</v>
      </c>
      <c r="G2205" t="s">
        <v>5359</v>
      </c>
      <c r="H2205" t="s">
        <v>62</v>
      </c>
      <c r="I2205" t="str">
        <f>"44022"</f>
        <v>44022</v>
      </c>
      <c r="J2205" t="s">
        <v>22</v>
      </c>
      <c r="K2205" t="s">
        <v>30</v>
      </c>
      <c r="L2205" s="2">
        <v>1324190</v>
      </c>
      <c r="M2205" s="2">
        <v>121254</v>
      </c>
      <c r="N2205" s="2">
        <v>0</v>
      </c>
      <c r="O2205" s="2">
        <v>53845</v>
      </c>
      <c r="P2205" t="s">
        <v>24</v>
      </c>
      <c r="Q2205" t="s">
        <v>24</v>
      </c>
    </row>
    <row r="2206" spans="1:17" x14ac:dyDescent="0.25">
      <c r="A2206" t="s">
        <v>4772</v>
      </c>
      <c r="B2206" t="s">
        <v>4773</v>
      </c>
      <c r="C2206" s="1">
        <v>41275</v>
      </c>
      <c r="D2206" s="1">
        <v>41639</v>
      </c>
      <c r="E2206" t="s">
        <v>4774</v>
      </c>
      <c r="G2206" t="s">
        <v>28</v>
      </c>
      <c r="H2206" t="s">
        <v>29</v>
      </c>
      <c r="I2206" t="str">
        <f>"60661"</f>
        <v>60661</v>
      </c>
      <c r="J2206" t="s">
        <v>22</v>
      </c>
      <c r="K2206" t="s">
        <v>23</v>
      </c>
      <c r="L2206" s="2">
        <v>1323819</v>
      </c>
      <c r="M2206" s="2">
        <v>77701</v>
      </c>
      <c r="N2206" s="2">
        <v>0</v>
      </c>
      <c r="O2206" s="2">
        <v>60445</v>
      </c>
      <c r="P2206" t="s">
        <v>24</v>
      </c>
      <c r="Q2206" t="s">
        <v>24</v>
      </c>
    </row>
    <row r="2207" spans="1:17" x14ac:dyDescent="0.25">
      <c r="A2207" t="s">
        <v>3805</v>
      </c>
      <c r="B2207" t="s">
        <v>3806</v>
      </c>
      <c r="C2207" s="1">
        <v>41275</v>
      </c>
      <c r="D2207" s="1">
        <v>41639</v>
      </c>
      <c r="E2207" t="s">
        <v>3807</v>
      </c>
      <c r="G2207" t="s">
        <v>28</v>
      </c>
      <c r="H2207" t="s">
        <v>29</v>
      </c>
      <c r="I2207" t="str">
        <f>"60611"</f>
        <v>60611</v>
      </c>
      <c r="J2207" t="s">
        <v>22</v>
      </c>
      <c r="K2207" t="s">
        <v>30</v>
      </c>
      <c r="L2207" s="2">
        <v>1322449</v>
      </c>
      <c r="M2207" s="2">
        <v>346031</v>
      </c>
      <c r="N2207" s="2">
        <v>0</v>
      </c>
      <c r="O2207" s="2">
        <v>108143</v>
      </c>
      <c r="P2207" t="s">
        <v>24</v>
      </c>
      <c r="Q2207" t="s">
        <v>24</v>
      </c>
    </row>
    <row r="2208" spans="1:17" x14ac:dyDescent="0.25">
      <c r="A2208" t="s">
        <v>3387</v>
      </c>
      <c r="B2208" t="s">
        <v>3388</v>
      </c>
      <c r="C2208" s="1">
        <v>41609</v>
      </c>
      <c r="D2208" s="1">
        <v>41973</v>
      </c>
      <c r="E2208" t="s">
        <v>702</v>
      </c>
      <c r="G2208" t="s">
        <v>28</v>
      </c>
      <c r="H2208" t="s">
        <v>29</v>
      </c>
      <c r="I2208" t="str">
        <f>"60603"</f>
        <v>60603</v>
      </c>
      <c r="J2208" t="s">
        <v>22</v>
      </c>
      <c r="K2208" t="s">
        <v>79</v>
      </c>
      <c r="L2208" s="2">
        <v>1322041</v>
      </c>
      <c r="M2208" s="2">
        <v>52042</v>
      </c>
      <c r="N2208" s="2">
        <v>0</v>
      </c>
      <c r="O2208" s="2">
        <v>18235</v>
      </c>
      <c r="P2208" t="s">
        <v>24</v>
      </c>
      <c r="Q2208" t="s">
        <v>24</v>
      </c>
    </row>
    <row r="2209" spans="1:17" x14ac:dyDescent="0.25">
      <c r="A2209" t="s">
        <v>4544</v>
      </c>
      <c r="B2209" t="s">
        <v>4545</v>
      </c>
      <c r="E2209" t="s">
        <v>1695</v>
      </c>
      <c r="G2209" t="s">
        <v>28</v>
      </c>
      <c r="H2209" t="s">
        <v>29</v>
      </c>
      <c r="I2209" t="str">
        <f>"60697"</f>
        <v>60697</v>
      </c>
      <c r="J2209" t="s">
        <v>22</v>
      </c>
      <c r="K2209" t="s">
        <v>30</v>
      </c>
      <c r="L2209" s="2">
        <v>1320198</v>
      </c>
      <c r="M2209" s="2">
        <v>570739</v>
      </c>
      <c r="N2209" s="2">
        <v>0</v>
      </c>
      <c r="O2209" t="s">
        <v>24</v>
      </c>
      <c r="P2209" t="s">
        <v>24</v>
      </c>
      <c r="Q2209" t="s">
        <v>24</v>
      </c>
    </row>
    <row r="2210" spans="1:17" x14ac:dyDescent="0.25">
      <c r="A2210" t="s">
        <v>3418</v>
      </c>
      <c r="B2210" t="s">
        <v>3419</v>
      </c>
      <c r="C2210" s="1">
        <v>41456</v>
      </c>
      <c r="D2210" s="1">
        <v>41820</v>
      </c>
      <c r="E2210" t="s">
        <v>3420</v>
      </c>
      <c r="G2210" t="s">
        <v>1058</v>
      </c>
      <c r="H2210" t="s">
        <v>47</v>
      </c>
      <c r="I2210" t="str">
        <f>"49010"</f>
        <v>49010</v>
      </c>
      <c r="J2210" t="s">
        <v>22</v>
      </c>
      <c r="K2210" t="s">
        <v>91</v>
      </c>
      <c r="L2210" s="2">
        <v>1318506</v>
      </c>
      <c r="M2210" s="2">
        <v>2900215</v>
      </c>
      <c r="N2210" s="2">
        <v>1038642</v>
      </c>
      <c r="O2210" s="2">
        <v>2484936</v>
      </c>
      <c r="P2210" t="s">
        <v>24</v>
      </c>
      <c r="Q2210" t="s">
        <v>24</v>
      </c>
    </row>
    <row r="2211" spans="1:17" x14ac:dyDescent="0.25">
      <c r="A2211" t="s">
        <v>6078</v>
      </c>
      <c r="B2211" t="s">
        <v>6079</v>
      </c>
      <c r="C2211" s="1">
        <v>41275</v>
      </c>
      <c r="D2211" s="1">
        <v>41639</v>
      </c>
      <c r="E2211" t="s">
        <v>6080</v>
      </c>
      <c r="G2211" t="s">
        <v>167</v>
      </c>
      <c r="H2211" t="s">
        <v>62</v>
      </c>
      <c r="I2211" t="str">
        <f>"45208"</f>
        <v>45208</v>
      </c>
      <c r="J2211" t="s">
        <v>22</v>
      </c>
      <c r="K2211" t="s">
        <v>30</v>
      </c>
      <c r="L2211" s="2">
        <v>1317022</v>
      </c>
      <c r="M2211" s="2">
        <v>419751</v>
      </c>
      <c r="N2211" s="2">
        <v>0</v>
      </c>
      <c r="O2211" s="2">
        <v>75575</v>
      </c>
      <c r="P2211" t="s">
        <v>24</v>
      </c>
      <c r="Q2211" t="s">
        <v>24</v>
      </c>
    </row>
    <row r="2212" spans="1:17" x14ac:dyDescent="0.25">
      <c r="A2212" t="s">
        <v>2316</v>
      </c>
      <c r="B2212" t="s">
        <v>2317</v>
      </c>
      <c r="C2212" s="1">
        <v>41275</v>
      </c>
      <c r="D2212" s="1">
        <v>41639</v>
      </c>
      <c r="E2212" t="s">
        <v>2318</v>
      </c>
      <c r="G2212" t="s">
        <v>2319</v>
      </c>
      <c r="H2212" t="s">
        <v>62</v>
      </c>
      <c r="I2212" t="str">
        <f>"43410"</f>
        <v>43410</v>
      </c>
      <c r="J2212" t="s">
        <v>22</v>
      </c>
      <c r="K2212" t="s">
        <v>23</v>
      </c>
      <c r="L2212" s="2">
        <v>1316869</v>
      </c>
      <c r="M2212" s="2">
        <v>39078</v>
      </c>
      <c r="N2212" s="2">
        <v>0</v>
      </c>
      <c r="O2212" s="2">
        <v>77702</v>
      </c>
      <c r="P2212" t="s">
        <v>24</v>
      </c>
      <c r="Q2212" t="s">
        <v>24</v>
      </c>
    </row>
    <row r="2213" spans="1:17" x14ac:dyDescent="0.25">
      <c r="A2213" t="s">
        <v>5966</v>
      </c>
      <c r="B2213" t="s">
        <v>5967</v>
      </c>
      <c r="C2213" s="1">
        <v>41275</v>
      </c>
      <c r="D2213" s="1">
        <v>41639</v>
      </c>
      <c r="E2213" t="s">
        <v>5968</v>
      </c>
      <c r="G2213" t="s">
        <v>86</v>
      </c>
      <c r="H2213" t="s">
        <v>42</v>
      </c>
      <c r="I2213" t="str">
        <f>"53719"</f>
        <v>53719</v>
      </c>
      <c r="J2213" t="s">
        <v>22</v>
      </c>
      <c r="K2213" t="s">
        <v>91</v>
      </c>
      <c r="L2213" s="2">
        <v>1316338</v>
      </c>
      <c r="M2213" s="2">
        <v>1340038</v>
      </c>
      <c r="N2213" s="2">
        <v>0</v>
      </c>
      <c r="O2213" s="2">
        <v>31751</v>
      </c>
      <c r="P2213" t="s">
        <v>24</v>
      </c>
      <c r="Q2213" t="s">
        <v>24</v>
      </c>
    </row>
    <row r="2214" spans="1:17" x14ac:dyDescent="0.25">
      <c r="A2214" t="s">
        <v>4318</v>
      </c>
      <c r="B2214" t="s">
        <v>4319</v>
      </c>
      <c r="C2214" s="1">
        <v>40238</v>
      </c>
      <c r="D2214" s="1">
        <v>40602</v>
      </c>
      <c r="E2214" t="s">
        <v>163</v>
      </c>
      <c r="G2214" t="s">
        <v>28</v>
      </c>
      <c r="H2214" t="s">
        <v>29</v>
      </c>
      <c r="I2214" t="str">
        <f>"60603"</f>
        <v>60603</v>
      </c>
      <c r="J2214" t="s">
        <v>22</v>
      </c>
      <c r="K2214" t="s">
        <v>30</v>
      </c>
      <c r="L2214" s="2">
        <v>1315242</v>
      </c>
      <c r="M2214" s="2">
        <v>1098796</v>
      </c>
      <c r="N2214" s="2">
        <v>0</v>
      </c>
      <c r="O2214" s="2">
        <v>28361</v>
      </c>
      <c r="P2214" t="s">
        <v>24</v>
      </c>
      <c r="Q2214" t="s">
        <v>24</v>
      </c>
    </row>
    <row r="2215" spans="1:17" x14ac:dyDescent="0.25">
      <c r="A2215" t="s">
        <v>3780</v>
      </c>
      <c r="B2215" t="s">
        <v>3781</v>
      </c>
      <c r="C2215" s="1">
        <v>41275</v>
      </c>
      <c r="D2215" s="1">
        <v>41639</v>
      </c>
      <c r="E2215" t="s">
        <v>3782</v>
      </c>
      <c r="G2215" t="s">
        <v>829</v>
      </c>
      <c r="H2215" t="s">
        <v>62</v>
      </c>
      <c r="I2215" t="str">
        <f>"43604"</f>
        <v>43604</v>
      </c>
      <c r="J2215" t="s">
        <v>22</v>
      </c>
      <c r="K2215" t="s">
        <v>30</v>
      </c>
      <c r="L2215" s="2">
        <v>1315093</v>
      </c>
      <c r="M2215" s="2">
        <v>41025</v>
      </c>
      <c r="N2215" s="2">
        <v>0</v>
      </c>
      <c r="O2215" s="2">
        <v>43195</v>
      </c>
      <c r="P2215" t="s">
        <v>24</v>
      </c>
      <c r="Q2215" t="s">
        <v>24</v>
      </c>
    </row>
    <row r="2216" spans="1:17" x14ac:dyDescent="0.25">
      <c r="A2216" t="s">
        <v>1067</v>
      </c>
      <c r="B2216" t="s">
        <v>1068</v>
      </c>
      <c r="C2216" s="1">
        <v>41452</v>
      </c>
      <c r="D2216" s="1">
        <v>41639</v>
      </c>
      <c r="E2216" t="s">
        <v>1069</v>
      </c>
      <c r="G2216" t="s">
        <v>28</v>
      </c>
      <c r="H2216" t="s">
        <v>29</v>
      </c>
      <c r="I2216" t="str">
        <f>"60613"</f>
        <v>60613</v>
      </c>
      <c r="J2216" t="s">
        <v>22</v>
      </c>
      <c r="K2216" t="s">
        <v>30</v>
      </c>
      <c r="L2216" s="2">
        <v>1314299</v>
      </c>
      <c r="M2216" s="2">
        <v>306923</v>
      </c>
      <c r="N2216" s="2">
        <v>0</v>
      </c>
      <c r="O2216" s="2">
        <v>72477</v>
      </c>
      <c r="P2216" t="s">
        <v>24</v>
      </c>
      <c r="Q2216" t="s">
        <v>24</v>
      </c>
    </row>
    <row r="2217" spans="1:17" x14ac:dyDescent="0.25">
      <c r="A2217" t="s">
        <v>5707</v>
      </c>
      <c r="B2217" t="s">
        <v>5708</v>
      </c>
      <c r="C2217" s="1">
        <v>41275</v>
      </c>
      <c r="D2217" s="1">
        <v>41639</v>
      </c>
      <c r="E2217" t="s">
        <v>5709</v>
      </c>
      <c r="G2217" t="s">
        <v>1265</v>
      </c>
      <c r="H2217" t="s">
        <v>29</v>
      </c>
      <c r="I2217" t="str">
        <f>"60301"</f>
        <v>60301</v>
      </c>
      <c r="J2217" t="s">
        <v>22</v>
      </c>
      <c r="K2217" t="s">
        <v>30</v>
      </c>
      <c r="L2217" s="2">
        <v>1313911</v>
      </c>
      <c r="M2217" s="2">
        <v>440000</v>
      </c>
      <c r="N2217" s="2">
        <v>65136</v>
      </c>
      <c r="O2217" s="2">
        <v>352031</v>
      </c>
      <c r="P2217" t="s">
        <v>24</v>
      </c>
      <c r="Q2217" t="s">
        <v>24</v>
      </c>
    </row>
    <row r="2218" spans="1:17" x14ac:dyDescent="0.25">
      <c r="A2218" t="s">
        <v>2864</v>
      </c>
      <c r="B2218" t="s">
        <v>2865</v>
      </c>
      <c r="C2218" s="1">
        <v>41275</v>
      </c>
      <c r="D2218" s="1">
        <v>41639</v>
      </c>
      <c r="E2218" t="s">
        <v>2866</v>
      </c>
      <c r="G2218" t="s">
        <v>41</v>
      </c>
      <c r="H2218" t="s">
        <v>42</v>
      </c>
      <c r="I2218" t="str">
        <f>"53226"</f>
        <v>53226</v>
      </c>
      <c r="J2218" t="s">
        <v>22</v>
      </c>
      <c r="K2218" t="s">
        <v>23</v>
      </c>
      <c r="L2218" s="2">
        <v>1310340</v>
      </c>
      <c r="M2218" s="2">
        <v>119949</v>
      </c>
      <c r="N2218" s="2">
        <v>0</v>
      </c>
      <c r="O2218" s="2">
        <v>125975</v>
      </c>
      <c r="P2218" t="s">
        <v>24</v>
      </c>
      <c r="Q2218" t="s">
        <v>24</v>
      </c>
    </row>
    <row r="2219" spans="1:17" x14ac:dyDescent="0.25">
      <c r="A2219" t="s">
        <v>590</v>
      </c>
      <c r="B2219" t="s">
        <v>591</v>
      </c>
      <c r="C2219" s="1">
        <v>41275</v>
      </c>
      <c r="D2219" s="1">
        <v>41639</v>
      </c>
      <c r="E2219" t="s">
        <v>592</v>
      </c>
      <c r="G2219" t="s">
        <v>593</v>
      </c>
      <c r="H2219" t="s">
        <v>42</v>
      </c>
      <c r="I2219" t="str">
        <f>"53532"</f>
        <v>53532</v>
      </c>
      <c r="J2219" t="s">
        <v>22</v>
      </c>
      <c r="K2219" t="s">
        <v>23</v>
      </c>
      <c r="L2219" s="2">
        <v>1308704</v>
      </c>
      <c r="M2219" s="2">
        <v>1008144</v>
      </c>
      <c r="N2219" s="2">
        <v>0</v>
      </c>
      <c r="O2219" s="2">
        <v>45789</v>
      </c>
      <c r="P2219" t="s">
        <v>24</v>
      </c>
      <c r="Q2219" t="s">
        <v>24</v>
      </c>
    </row>
    <row r="2220" spans="1:17" x14ac:dyDescent="0.25">
      <c r="A2220" t="s">
        <v>5286</v>
      </c>
      <c r="B2220" t="s">
        <v>5287</v>
      </c>
      <c r="C2220" s="1">
        <v>41275</v>
      </c>
      <c r="D2220" s="1">
        <v>41639</v>
      </c>
      <c r="E2220" t="s">
        <v>5288</v>
      </c>
      <c r="G2220" t="s">
        <v>1920</v>
      </c>
      <c r="H2220" t="s">
        <v>47</v>
      </c>
      <c r="I2220" t="str">
        <f>"48331"</f>
        <v>48331</v>
      </c>
      <c r="J2220" t="s">
        <v>22</v>
      </c>
      <c r="K2220" t="s">
        <v>30</v>
      </c>
      <c r="L2220" s="2">
        <v>1307614</v>
      </c>
      <c r="M2220" s="2">
        <v>360595</v>
      </c>
      <c r="N2220" s="2">
        <v>0</v>
      </c>
      <c r="O2220" s="2">
        <v>116645</v>
      </c>
      <c r="P2220" t="s">
        <v>24</v>
      </c>
      <c r="Q2220" t="s">
        <v>24</v>
      </c>
    </row>
    <row r="2221" spans="1:17" x14ac:dyDescent="0.25">
      <c r="A2221" t="s">
        <v>2847</v>
      </c>
      <c r="B2221" t="s">
        <v>2848</v>
      </c>
      <c r="C2221" s="1">
        <v>41275</v>
      </c>
      <c r="D2221" s="1">
        <v>41639</v>
      </c>
      <c r="E2221" t="s">
        <v>163</v>
      </c>
      <c r="G2221" t="s">
        <v>28</v>
      </c>
      <c r="H2221" t="s">
        <v>29</v>
      </c>
      <c r="I2221" t="str">
        <f>"60603"</f>
        <v>60603</v>
      </c>
      <c r="J2221" t="s">
        <v>22</v>
      </c>
      <c r="K2221" t="s">
        <v>30</v>
      </c>
      <c r="L2221" s="2">
        <v>1305554</v>
      </c>
      <c r="M2221" s="2">
        <v>725507</v>
      </c>
      <c r="N2221" s="2">
        <v>0</v>
      </c>
      <c r="O2221" s="2">
        <v>178125</v>
      </c>
      <c r="P2221" t="s">
        <v>24</v>
      </c>
      <c r="Q2221" t="s">
        <v>24</v>
      </c>
    </row>
    <row r="2222" spans="1:17" x14ac:dyDescent="0.25">
      <c r="A2222" t="s">
        <v>3858</v>
      </c>
      <c r="B2222" t="s">
        <v>3859</v>
      </c>
      <c r="C2222" s="1">
        <v>41275</v>
      </c>
      <c r="D2222" s="1">
        <v>41639</v>
      </c>
      <c r="E2222" t="s">
        <v>3860</v>
      </c>
      <c r="G2222" t="s">
        <v>604</v>
      </c>
      <c r="H2222" t="s">
        <v>42</v>
      </c>
      <c r="I2222" t="str">
        <f>"53562"</f>
        <v>53562</v>
      </c>
      <c r="J2222" t="s">
        <v>22</v>
      </c>
      <c r="K2222" t="s">
        <v>30</v>
      </c>
      <c r="L2222" s="2">
        <v>1302979</v>
      </c>
      <c r="M2222" s="2">
        <v>373483</v>
      </c>
      <c r="N2222" s="2">
        <v>0</v>
      </c>
      <c r="O2222" s="2">
        <v>100013</v>
      </c>
      <c r="P2222" t="s">
        <v>24</v>
      </c>
      <c r="Q2222" t="s">
        <v>24</v>
      </c>
    </row>
    <row r="2223" spans="1:17" x14ac:dyDescent="0.25">
      <c r="A2223" t="s">
        <v>3328</v>
      </c>
      <c r="B2223" t="s">
        <v>3329</v>
      </c>
      <c r="C2223" s="1">
        <v>41275</v>
      </c>
      <c r="D2223" s="1">
        <v>41639</v>
      </c>
      <c r="E2223" t="s">
        <v>2387</v>
      </c>
      <c r="G2223" t="s">
        <v>353</v>
      </c>
      <c r="H2223" t="s">
        <v>62</v>
      </c>
      <c r="I2223" t="str">
        <f>"43216"</f>
        <v>43216</v>
      </c>
      <c r="J2223" t="s">
        <v>752</v>
      </c>
      <c r="K2223" t="s">
        <v>91</v>
      </c>
      <c r="L2223" s="2">
        <v>1301592</v>
      </c>
      <c r="M2223" s="2">
        <v>506083</v>
      </c>
      <c r="N2223" s="2">
        <v>0</v>
      </c>
      <c r="O2223" s="2">
        <v>80070</v>
      </c>
      <c r="P2223" t="s">
        <v>24</v>
      </c>
      <c r="Q2223" t="s">
        <v>24</v>
      </c>
    </row>
    <row r="2224" spans="1:17" x14ac:dyDescent="0.25">
      <c r="A2224" t="s">
        <v>6990</v>
      </c>
      <c r="B2224" t="s">
        <v>6991</v>
      </c>
      <c r="C2224" s="1">
        <v>41275</v>
      </c>
      <c r="D2224" s="1">
        <v>41639</v>
      </c>
      <c r="E2224" t="s">
        <v>6992</v>
      </c>
      <c r="G2224" t="s">
        <v>28</v>
      </c>
      <c r="H2224" t="s">
        <v>29</v>
      </c>
      <c r="I2224" t="str">
        <f>"60610"</f>
        <v>60610</v>
      </c>
      <c r="J2224" t="s">
        <v>22</v>
      </c>
      <c r="K2224" t="s">
        <v>23</v>
      </c>
      <c r="L2224" s="2">
        <v>1299996</v>
      </c>
      <c r="M2224" s="2">
        <v>2121674</v>
      </c>
      <c r="N2224" s="2">
        <v>0</v>
      </c>
      <c r="O2224" s="2">
        <v>1158341</v>
      </c>
      <c r="P2224" t="s">
        <v>24</v>
      </c>
      <c r="Q2224" t="s">
        <v>24</v>
      </c>
    </row>
    <row r="2225" spans="1:17" x14ac:dyDescent="0.25">
      <c r="A2225" t="s">
        <v>943</v>
      </c>
      <c r="B2225" t="s">
        <v>944</v>
      </c>
      <c r="C2225" s="1">
        <v>41275</v>
      </c>
      <c r="D2225" s="1">
        <v>41639</v>
      </c>
      <c r="E2225" t="s">
        <v>791</v>
      </c>
      <c r="G2225" t="s">
        <v>337</v>
      </c>
      <c r="H2225" t="s">
        <v>62</v>
      </c>
      <c r="I2225" t="str">
        <f>"44113"</f>
        <v>44113</v>
      </c>
      <c r="J2225" t="s">
        <v>22</v>
      </c>
      <c r="K2225" t="s">
        <v>23</v>
      </c>
      <c r="L2225" s="2">
        <v>1298418</v>
      </c>
      <c r="M2225" s="2">
        <v>37131</v>
      </c>
      <c r="N2225" s="2">
        <v>0</v>
      </c>
      <c r="O2225" s="2">
        <v>65808</v>
      </c>
      <c r="P2225" t="s">
        <v>24</v>
      </c>
      <c r="Q2225" t="s">
        <v>24</v>
      </c>
    </row>
    <row r="2226" spans="1:17" x14ac:dyDescent="0.25">
      <c r="A2226" t="s">
        <v>618</v>
      </c>
      <c r="B2226" t="s">
        <v>619</v>
      </c>
      <c r="C2226" s="1">
        <v>41275</v>
      </c>
      <c r="D2226" s="1">
        <v>41639</v>
      </c>
      <c r="E2226" t="s">
        <v>40</v>
      </c>
      <c r="G2226" t="s">
        <v>41</v>
      </c>
      <c r="H2226" t="s">
        <v>42</v>
      </c>
      <c r="I2226" t="str">
        <f>"53201"</f>
        <v>53201</v>
      </c>
      <c r="J2226" t="s">
        <v>22</v>
      </c>
      <c r="K2226" t="s">
        <v>23</v>
      </c>
      <c r="L2226" s="2">
        <v>1296463</v>
      </c>
      <c r="M2226" s="2">
        <v>773898</v>
      </c>
      <c r="N2226" s="2">
        <v>0</v>
      </c>
      <c r="O2226" s="2">
        <v>79674</v>
      </c>
      <c r="P2226" t="s">
        <v>24</v>
      </c>
      <c r="Q2226" t="s">
        <v>24</v>
      </c>
    </row>
    <row r="2227" spans="1:17" x14ac:dyDescent="0.25">
      <c r="A2227" t="s">
        <v>2727</v>
      </c>
      <c r="B2227" t="s">
        <v>2728</v>
      </c>
      <c r="C2227" s="1">
        <v>41183</v>
      </c>
      <c r="D2227" s="1">
        <v>41547</v>
      </c>
      <c r="E2227" t="s">
        <v>50</v>
      </c>
      <c r="G2227" t="s">
        <v>28</v>
      </c>
      <c r="H2227" t="s">
        <v>29</v>
      </c>
      <c r="I2227" t="str">
        <f>"60603"</f>
        <v>60603</v>
      </c>
      <c r="J2227" t="s">
        <v>22</v>
      </c>
      <c r="K2227" t="s">
        <v>23</v>
      </c>
      <c r="L2227" s="2">
        <v>1293065</v>
      </c>
      <c r="M2227" s="2">
        <v>520906</v>
      </c>
      <c r="N2227" s="2">
        <v>0</v>
      </c>
      <c r="O2227" s="2">
        <v>192238</v>
      </c>
      <c r="P2227" t="s">
        <v>24</v>
      </c>
      <c r="Q2227" t="s">
        <v>24</v>
      </c>
    </row>
    <row r="2228" spans="1:17" x14ac:dyDescent="0.25">
      <c r="A2228" t="s">
        <v>3010</v>
      </c>
      <c r="B2228" t="s">
        <v>3011</v>
      </c>
      <c r="C2228" s="1">
        <v>41275</v>
      </c>
      <c r="D2228" s="1">
        <v>41639</v>
      </c>
      <c r="E2228" t="s">
        <v>3012</v>
      </c>
      <c r="G2228" t="s">
        <v>3013</v>
      </c>
      <c r="H2228" t="s">
        <v>78</v>
      </c>
      <c r="I2228" t="str">
        <f>"40004"</f>
        <v>40004</v>
      </c>
      <c r="J2228" t="s">
        <v>22</v>
      </c>
      <c r="K2228" t="s">
        <v>23</v>
      </c>
      <c r="L2228" s="2">
        <v>1292278</v>
      </c>
      <c r="M2228" s="2">
        <v>174738</v>
      </c>
      <c r="N2228" s="2">
        <v>0</v>
      </c>
      <c r="O2228" s="2">
        <v>55053</v>
      </c>
      <c r="P2228" t="s">
        <v>24</v>
      </c>
      <c r="Q2228" t="s">
        <v>24</v>
      </c>
    </row>
    <row r="2229" spans="1:17" x14ac:dyDescent="0.25">
      <c r="A2229" t="s">
        <v>4056</v>
      </c>
      <c r="B2229" t="s">
        <v>4057</v>
      </c>
      <c r="C2229" s="1">
        <v>41275</v>
      </c>
      <c r="D2229" s="1">
        <v>41639</v>
      </c>
      <c r="E2229" t="s">
        <v>4058</v>
      </c>
      <c r="G2229" t="s">
        <v>4059</v>
      </c>
      <c r="H2229" t="s">
        <v>29</v>
      </c>
      <c r="I2229" t="str">
        <f>"60071"</f>
        <v>60071</v>
      </c>
      <c r="J2229" t="s">
        <v>22</v>
      </c>
      <c r="K2229" t="s">
        <v>23</v>
      </c>
      <c r="L2229" s="2">
        <v>1290775</v>
      </c>
      <c r="M2229" s="2">
        <v>1326509</v>
      </c>
      <c r="N2229" s="2">
        <v>0</v>
      </c>
      <c r="O2229" s="2">
        <v>464033</v>
      </c>
      <c r="P2229" t="s">
        <v>24</v>
      </c>
      <c r="Q2229" t="s">
        <v>24</v>
      </c>
    </row>
    <row r="2230" spans="1:17" x14ac:dyDescent="0.25">
      <c r="A2230" t="s">
        <v>3791</v>
      </c>
      <c r="B2230" t="s">
        <v>3792</v>
      </c>
      <c r="C2230" s="1">
        <v>41091</v>
      </c>
      <c r="D2230" s="1">
        <v>41455</v>
      </c>
      <c r="E2230" t="s">
        <v>3793</v>
      </c>
      <c r="G2230" t="s">
        <v>353</v>
      </c>
      <c r="H2230" t="s">
        <v>62</v>
      </c>
      <c r="I2230" t="str">
        <f>"43215"</f>
        <v>43215</v>
      </c>
      <c r="J2230" t="s">
        <v>63</v>
      </c>
      <c r="K2230" t="s">
        <v>23</v>
      </c>
      <c r="L2230" s="2">
        <v>1289875</v>
      </c>
      <c r="M2230" s="2">
        <v>266653</v>
      </c>
      <c r="N2230" s="2">
        <v>300788</v>
      </c>
      <c r="O2230" s="2">
        <v>753614</v>
      </c>
      <c r="P2230" s="2">
        <v>7224</v>
      </c>
      <c r="Q2230" s="2">
        <v>0</v>
      </c>
    </row>
    <row r="2231" spans="1:17" x14ac:dyDescent="0.25">
      <c r="A2231" t="s">
        <v>3818</v>
      </c>
      <c r="B2231" t="s">
        <v>3819</v>
      </c>
      <c r="C2231" s="1">
        <v>41275</v>
      </c>
      <c r="D2231" s="1">
        <v>41639</v>
      </c>
      <c r="E2231" t="s">
        <v>3820</v>
      </c>
      <c r="G2231" t="s">
        <v>28</v>
      </c>
      <c r="H2231" t="s">
        <v>29</v>
      </c>
      <c r="I2231" t="str">
        <f>"60657"</f>
        <v>60657</v>
      </c>
      <c r="J2231" t="s">
        <v>22</v>
      </c>
      <c r="K2231" t="s">
        <v>30</v>
      </c>
      <c r="L2231" s="2">
        <v>1288046</v>
      </c>
      <c r="M2231" s="2">
        <v>470922</v>
      </c>
      <c r="N2231" s="2">
        <v>0</v>
      </c>
      <c r="O2231" s="2">
        <v>439539</v>
      </c>
      <c r="P2231" t="s">
        <v>24</v>
      </c>
      <c r="Q2231" t="s">
        <v>24</v>
      </c>
    </row>
    <row r="2232" spans="1:17" x14ac:dyDescent="0.25">
      <c r="A2232" t="s">
        <v>6031</v>
      </c>
      <c r="B2232" t="s">
        <v>6032</v>
      </c>
      <c r="C2232" s="1">
        <v>41275</v>
      </c>
      <c r="D2232" s="1">
        <v>41639</v>
      </c>
      <c r="E2232" t="s">
        <v>6033</v>
      </c>
      <c r="G2232" t="s">
        <v>139</v>
      </c>
      <c r="H2232" t="s">
        <v>47</v>
      </c>
      <c r="I2232" t="str">
        <f>"49506"</f>
        <v>49506</v>
      </c>
      <c r="J2232" t="s">
        <v>22</v>
      </c>
      <c r="K2232" t="s">
        <v>30</v>
      </c>
      <c r="L2232" s="2">
        <v>1288028</v>
      </c>
      <c r="M2232" s="2">
        <v>117806</v>
      </c>
      <c r="N2232" s="2">
        <v>4923</v>
      </c>
      <c r="O2232" s="2">
        <v>90234</v>
      </c>
      <c r="P2232" t="s">
        <v>24</v>
      </c>
      <c r="Q2232" t="s">
        <v>24</v>
      </c>
    </row>
    <row r="2233" spans="1:17" x14ac:dyDescent="0.25">
      <c r="A2233" t="s">
        <v>209</v>
      </c>
      <c r="B2233" t="s">
        <v>210</v>
      </c>
      <c r="C2233" s="1">
        <v>41275</v>
      </c>
      <c r="D2233" s="1">
        <v>41639</v>
      </c>
      <c r="E2233" t="s">
        <v>211</v>
      </c>
      <c r="G2233" t="s">
        <v>41</v>
      </c>
      <c r="H2233" t="s">
        <v>42</v>
      </c>
      <c r="I2233" t="str">
        <f>"53202"</f>
        <v>53202</v>
      </c>
      <c r="J2233" t="s">
        <v>22</v>
      </c>
      <c r="K2233" t="s">
        <v>30</v>
      </c>
      <c r="L2233" s="2">
        <v>1287286</v>
      </c>
      <c r="M2233" s="2">
        <v>689621</v>
      </c>
      <c r="N2233" s="2">
        <v>0</v>
      </c>
      <c r="O2233" s="2">
        <v>75559</v>
      </c>
      <c r="P2233" t="s">
        <v>24</v>
      </c>
      <c r="Q2233" t="s">
        <v>24</v>
      </c>
    </row>
    <row r="2234" spans="1:17" x14ac:dyDescent="0.25">
      <c r="A2234" t="s">
        <v>7475</v>
      </c>
      <c r="B2234" t="s">
        <v>7476</v>
      </c>
      <c r="C2234" s="1">
        <v>41275</v>
      </c>
      <c r="D2234" s="1">
        <v>41639</v>
      </c>
      <c r="E2234" t="s">
        <v>104</v>
      </c>
      <c r="G2234" t="s">
        <v>28</v>
      </c>
      <c r="H2234" t="s">
        <v>29</v>
      </c>
      <c r="I2234" t="str">
        <f>"60680"</f>
        <v>60680</v>
      </c>
      <c r="J2234" t="s">
        <v>22</v>
      </c>
      <c r="K2234" t="s">
        <v>23</v>
      </c>
      <c r="L2234" s="2">
        <v>1287062</v>
      </c>
      <c r="M2234" s="2">
        <v>2596440</v>
      </c>
      <c r="N2234" s="2">
        <v>1000</v>
      </c>
      <c r="O2234" s="2">
        <v>374242</v>
      </c>
      <c r="P2234" t="s">
        <v>24</v>
      </c>
      <c r="Q2234" t="s">
        <v>24</v>
      </c>
    </row>
    <row r="2235" spans="1:17" x14ac:dyDescent="0.25">
      <c r="A2235" t="s">
        <v>2301</v>
      </c>
      <c r="B2235" t="s">
        <v>2302</v>
      </c>
      <c r="C2235" s="1">
        <v>41275</v>
      </c>
      <c r="D2235" s="1">
        <v>41639</v>
      </c>
      <c r="E2235" t="s">
        <v>1496</v>
      </c>
      <c r="G2235" t="s">
        <v>167</v>
      </c>
      <c r="H2235" t="s">
        <v>62</v>
      </c>
      <c r="I2235" t="str">
        <f>"45263"</f>
        <v>45263</v>
      </c>
      <c r="J2235" t="s">
        <v>22</v>
      </c>
      <c r="K2235" t="s">
        <v>30</v>
      </c>
      <c r="L2235" s="2">
        <v>1286617</v>
      </c>
      <c r="M2235" s="2">
        <v>244127</v>
      </c>
      <c r="N2235" s="2">
        <v>0</v>
      </c>
      <c r="O2235" s="2">
        <v>86105</v>
      </c>
      <c r="P2235" t="s">
        <v>24</v>
      </c>
      <c r="Q2235" t="s">
        <v>24</v>
      </c>
    </row>
    <row r="2236" spans="1:17" x14ac:dyDescent="0.25">
      <c r="A2236" t="s">
        <v>5118</v>
      </c>
      <c r="B2236" t="s">
        <v>5119</v>
      </c>
      <c r="C2236" s="1">
        <v>41275</v>
      </c>
      <c r="D2236" s="1">
        <v>41639</v>
      </c>
      <c r="E2236" t="s">
        <v>5120</v>
      </c>
      <c r="G2236" t="s">
        <v>880</v>
      </c>
      <c r="H2236" t="s">
        <v>29</v>
      </c>
      <c r="I2236" t="str">
        <f>"60022"</f>
        <v>60022</v>
      </c>
      <c r="J2236" t="s">
        <v>22</v>
      </c>
      <c r="K2236" t="s">
        <v>23</v>
      </c>
      <c r="L2236" s="2">
        <v>1284132</v>
      </c>
      <c r="M2236" s="2">
        <v>565646</v>
      </c>
      <c r="N2236" s="2">
        <v>0</v>
      </c>
      <c r="O2236" s="2">
        <v>117650</v>
      </c>
      <c r="P2236" t="s">
        <v>24</v>
      </c>
      <c r="Q2236" t="s">
        <v>24</v>
      </c>
    </row>
    <row r="2237" spans="1:17" x14ac:dyDescent="0.25">
      <c r="A2237" t="s">
        <v>901</v>
      </c>
      <c r="B2237" t="s">
        <v>902</v>
      </c>
      <c r="C2237" s="1">
        <v>41275</v>
      </c>
      <c r="D2237" s="1">
        <v>41639</v>
      </c>
      <c r="E2237" t="s">
        <v>903</v>
      </c>
      <c r="G2237" t="s">
        <v>843</v>
      </c>
      <c r="H2237" t="s">
        <v>29</v>
      </c>
      <c r="I2237" t="str">
        <f>"61107"</f>
        <v>61107</v>
      </c>
      <c r="J2237" t="s">
        <v>22</v>
      </c>
      <c r="K2237" t="s">
        <v>23</v>
      </c>
      <c r="L2237" s="2">
        <v>1281656</v>
      </c>
      <c r="M2237" s="2">
        <v>152633</v>
      </c>
      <c r="N2237" s="2">
        <v>0</v>
      </c>
      <c r="O2237" s="2">
        <v>119597</v>
      </c>
      <c r="P2237" t="s">
        <v>24</v>
      </c>
      <c r="Q2237" t="s">
        <v>24</v>
      </c>
    </row>
    <row r="2238" spans="1:17" x14ac:dyDescent="0.25">
      <c r="A2238" t="s">
        <v>996</v>
      </c>
      <c r="B2238" t="s">
        <v>997</v>
      </c>
      <c r="C2238" s="1">
        <v>41275</v>
      </c>
      <c r="D2238" s="1">
        <v>41639</v>
      </c>
      <c r="E2238" t="s">
        <v>998</v>
      </c>
      <c r="G2238" t="s">
        <v>999</v>
      </c>
      <c r="H2238" t="s">
        <v>47</v>
      </c>
      <c r="I2238" t="str">
        <f>"48708"</f>
        <v>48708</v>
      </c>
      <c r="J2238" t="s">
        <v>22</v>
      </c>
      <c r="K2238" t="s">
        <v>30</v>
      </c>
      <c r="L2238" s="2">
        <v>1281097</v>
      </c>
      <c r="M2238" s="2">
        <v>487124</v>
      </c>
      <c r="N2238" s="2">
        <v>0</v>
      </c>
      <c r="O2238" s="2">
        <v>323439</v>
      </c>
      <c r="P2238" t="s">
        <v>24</v>
      </c>
      <c r="Q2238" t="s">
        <v>24</v>
      </c>
    </row>
    <row r="2239" spans="1:17" x14ac:dyDescent="0.25">
      <c r="A2239" t="s">
        <v>4093</v>
      </c>
      <c r="B2239" t="s">
        <v>4094</v>
      </c>
      <c r="C2239" s="1">
        <v>41275</v>
      </c>
      <c r="D2239" s="1">
        <v>41639</v>
      </c>
      <c r="E2239" t="s">
        <v>2708</v>
      </c>
      <c r="G2239" t="s">
        <v>4095</v>
      </c>
      <c r="H2239" t="s">
        <v>29</v>
      </c>
      <c r="I2239" t="str">
        <f>"62233"</f>
        <v>62233</v>
      </c>
      <c r="J2239" t="s">
        <v>22</v>
      </c>
      <c r="K2239" t="s">
        <v>30</v>
      </c>
      <c r="L2239" s="2">
        <v>1280938</v>
      </c>
      <c r="M2239" s="2">
        <v>279557</v>
      </c>
      <c r="N2239" s="2">
        <v>0</v>
      </c>
      <c r="O2239" s="2">
        <v>68053</v>
      </c>
      <c r="P2239" t="s">
        <v>24</v>
      </c>
      <c r="Q2239" t="s">
        <v>24</v>
      </c>
    </row>
    <row r="2240" spans="1:17" x14ac:dyDescent="0.25">
      <c r="A2240" t="s">
        <v>4320</v>
      </c>
      <c r="B2240" t="s">
        <v>4321</v>
      </c>
      <c r="C2240" s="1">
        <v>41091</v>
      </c>
      <c r="D2240" s="1">
        <v>41455</v>
      </c>
      <c r="E2240" t="s">
        <v>1496</v>
      </c>
      <c r="G2240" t="s">
        <v>167</v>
      </c>
      <c r="H2240" t="s">
        <v>62</v>
      </c>
      <c r="I2240" t="str">
        <f>"45263"</f>
        <v>45263</v>
      </c>
      <c r="J2240" t="s">
        <v>22</v>
      </c>
      <c r="K2240" t="s">
        <v>30</v>
      </c>
      <c r="L2240" s="2">
        <v>1280801</v>
      </c>
      <c r="M2240" s="2">
        <v>640367</v>
      </c>
      <c r="N2240" s="2">
        <v>0</v>
      </c>
      <c r="O2240" s="2">
        <v>74841</v>
      </c>
      <c r="P2240" t="s">
        <v>24</v>
      </c>
      <c r="Q2240" t="s">
        <v>24</v>
      </c>
    </row>
    <row r="2241" spans="1:17" x14ac:dyDescent="0.25">
      <c r="A2241" t="s">
        <v>3033</v>
      </c>
      <c r="B2241" t="s">
        <v>3034</v>
      </c>
      <c r="C2241" s="1">
        <v>41275</v>
      </c>
      <c r="D2241" s="1">
        <v>41639</v>
      </c>
      <c r="E2241" t="s">
        <v>556</v>
      </c>
      <c r="G2241" t="s">
        <v>167</v>
      </c>
      <c r="H2241" t="s">
        <v>62</v>
      </c>
      <c r="I2241" t="str">
        <f>"45201"</f>
        <v>45201</v>
      </c>
      <c r="J2241" t="s">
        <v>22</v>
      </c>
      <c r="K2241" t="s">
        <v>30</v>
      </c>
      <c r="L2241" s="2">
        <v>1276830</v>
      </c>
      <c r="M2241" s="2">
        <v>240477</v>
      </c>
      <c r="N2241" s="2">
        <v>0</v>
      </c>
      <c r="O2241" s="2">
        <v>95276</v>
      </c>
      <c r="P2241" t="s">
        <v>24</v>
      </c>
      <c r="Q2241" t="s">
        <v>24</v>
      </c>
    </row>
    <row r="2242" spans="1:17" x14ac:dyDescent="0.25">
      <c r="A2242" t="s">
        <v>4290</v>
      </c>
      <c r="B2242" t="s">
        <v>4291</v>
      </c>
      <c r="C2242" s="1">
        <v>41275</v>
      </c>
      <c r="D2242" s="1">
        <v>41639</v>
      </c>
      <c r="E2242" t="s">
        <v>4292</v>
      </c>
      <c r="G2242" t="s">
        <v>353</v>
      </c>
      <c r="H2242" t="s">
        <v>62</v>
      </c>
      <c r="I2242" t="str">
        <f>"43215"</f>
        <v>43215</v>
      </c>
      <c r="J2242" t="s">
        <v>22</v>
      </c>
      <c r="K2242" t="s">
        <v>23</v>
      </c>
      <c r="L2242" s="2">
        <v>1276367</v>
      </c>
      <c r="M2242" s="2">
        <v>500669</v>
      </c>
      <c r="N2242" s="2">
        <v>106157</v>
      </c>
      <c r="O2242" s="2">
        <v>304729</v>
      </c>
      <c r="P2242" t="s">
        <v>24</v>
      </c>
      <c r="Q2242" t="s">
        <v>24</v>
      </c>
    </row>
    <row r="2243" spans="1:17" x14ac:dyDescent="0.25">
      <c r="A2243" t="s">
        <v>1331</v>
      </c>
      <c r="B2243" t="s">
        <v>1332</v>
      </c>
      <c r="C2243" s="1">
        <v>40909</v>
      </c>
      <c r="D2243" s="1">
        <v>41274</v>
      </c>
      <c r="E2243" t="s">
        <v>1333</v>
      </c>
      <c r="G2243" t="s">
        <v>41</v>
      </c>
      <c r="H2243" t="s">
        <v>42</v>
      </c>
      <c r="I2243" t="str">
        <f>"53202"</f>
        <v>53202</v>
      </c>
      <c r="J2243" t="s">
        <v>22</v>
      </c>
      <c r="K2243" t="s">
        <v>23</v>
      </c>
      <c r="L2243" s="2">
        <v>1275856</v>
      </c>
      <c r="M2243" s="2">
        <v>92881</v>
      </c>
      <c r="N2243" s="2">
        <v>0</v>
      </c>
      <c r="O2243" s="2">
        <v>64549</v>
      </c>
      <c r="P2243" t="s">
        <v>24</v>
      </c>
      <c r="Q2243" t="s">
        <v>24</v>
      </c>
    </row>
    <row r="2244" spans="1:17" x14ac:dyDescent="0.25">
      <c r="A2244" t="s">
        <v>3443</v>
      </c>
      <c r="B2244" t="s">
        <v>3444</v>
      </c>
      <c r="C2244" s="1">
        <v>41426</v>
      </c>
      <c r="D2244" s="1">
        <v>41790</v>
      </c>
      <c r="E2244" t="s">
        <v>3445</v>
      </c>
      <c r="G2244" t="s">
        <v>77</v>
      </c>
      <c r="H2244" t="s">
        <v>78</v>
      </c>
      <c r="I2244" t="str">
        <f>"40204"</f>
        <v>40204</v>
      </c>
      <c r="J2244" t="s">
        <v>22</v>
      </c>
      <c r="K2244" t="s">
        <v>23</v>
      </c>
      <c r="L2244" s="2">
        <v>1273410</v>
      </c>
      <c r="M2244" s="2">
        <v>312425</v>
      </c>
      <c r="N2244" s="2">
        <v>0</v>
      </c>
      <c r="O2244" s="2">
        <v>109583</v>
      </c>
      <c r="P2244" t="s">
        <v>24</v>
      </c>
      <c r="Q2244" t="s">
        <v>24</v>
      </c>
    </row>
    <row r="2245" spans="1:17" x14ac:dyDescent="0.25">
      <c r="A2245" t="s">
        <v>2329</v>
      </c>
      <c r="B2245" t="s">
        <v>2330</v>
      </c>
      <c r="C2245" s="1">
        <v>41275</v>
      </c>
      <c r="D2245" s="1">
        <v>41639</v>
      </c>
      <c r="E2245" t="s">
        <v>2331</v>
      </c>
      <c r="G2245" t="s">
        <v>1560</v>
      </c>
      <c r="H2245" t="s">
        <v>21</v>
      </c>
      <c r="I2245" t="str">
        <f>"46634"</f>
        <v>46634</v>
      </c>
      <c r="J2245" t="s">
        <v>22</v>
      </c>
      <c r="K2245" t="s">
        <v>30</v>
      </c>
      <c r="L2245" s="2">
        <v>1272725</v>
      </c>
      <c r="M2245" s="2">
        <v>216578</v>
      </c>
      <c r="N2245" s="2">
        <v>0</v>
      </c>
      <c r="O2245" s="2">
        <v>71789</v>
      </c>
      <c r="P2245" t="s">
        <v>24</v>
      </c>
      <c r="Q2245" t="s">
        <v>24</v>
      </c>
    </row>
    <row r="2246" spans="1:17" x14ac:dyDescent="0.25">
      <c r="A2246" t="s">
        <v>5587</v>
      </c>
      <c r="B2246" t="s">
        <v>5588</v>
      </c>
      <c r="C2246" s="1">
        <v>41275</v>
      </c>
      <c r="D2246" s="1">
        <v>41639</v>
      </c>
      <c r="E2246" t="s">
        <v>104</v>
      </c>
      <c r="G2246" t="s">
        <v>28</v>
      </c>
      <c r="H2246" t="s">
        <v>29</v>
      </c>
      <c r="I2246" t="str">
        <f>"60680"</f>
        <v>60680</v>
      </c>
      <c r="J2246" t="s">
        <v>22</v>
      </c>
      <c r="K2246" t="s">
        <v>91</v>
      </c>
      <c r="L2246" s="2">
        <v>1268045</v>
      </c>
      <c r="M2246" s="2">
        <v>211171</v>
      </c>
      <c r="N2246" s="2">
        <v>0</v>
      </c>
      <c r="O2246" s="2">
        <v>75594</v>
      </c>
      <c r="P2246" t="s">
        <v>24</v>
      </c>
      <c r="Q2246" t="s">
        <v>24</v>
      </c>
    </row>
    <row r="2247" spans="1:17" x14ac:dyDescent="0.25">
      <c r="A2247" t="s">
        <v>5543</v>
      </c>
      <c r="B2247" t="s">
        <v>5544</v>
      </c>
      <c r="C2247" s="1">
        <v>41275</v>
      </c>
      <c r="D2247" s="1">
        <v>41639</v>
      </c>
      <c r="E2247" t="s">
        <v>5545</v>
      </c>
      <c r="G2247" t="s">
        <v>1437</v>
      </c>
      <c r="H2247" t="s">
        <v>29</v>
      </c>
      <c r="I2247" t="str">
        <f>"60076"</f>
        <v>60076</v>
      </c>
      <c r="J2247" t="s">
        <v>22</v>
      </c>
      <c r="K2247" t="s">
        <v>23</v>
      </c>
      <c r="L2247" s="2">
        <v>1266801</v>
      </c>
      <c r="M2247" s="2">
        <v>129540</v>
      </c>
      <c r="N2247" s="2">
        <v>10</v>
      </c>
      <c r="O2247" s="2">
        <v>69072</v>
      </c>
      <c r="P2247" t="s">
        <v>24</v>
      </c>
      <c r="Q2247" t="s">
        <v>24</v>
      </c>
    </row>
    <row r="2248" spans="1:17" x14ac:dyDescent="0.25">
      <c r="A2248" t="s">
        <v>4214</v>
      </c>
      <c r="B2248" t="s">
        <v>4215</v>
      </c>
      <c r="C2248" s="1">
        <v>41275</v>
      </c>
      <c r="D2248" s="1">
        <v>41639</v>
      </c>
      <c r="E2248" t="s">
        <v>4216</v>
      </c>
      <c r="G2248" t="s">
        <v>462</v>
      </c>
      <c r="H2248" t="s">
        <v>47</v>
      </c>
      <c r="I2248" t="str">
        <f>"48638"</f>
        <v>48638</v>
      </c>
      <c r="J2248" t="s">
        <v>22</v>
      </c>
      <c r="K2248" t="s">
        <v>23</v>
      </c>
      <c r="L2248" s="2">
        <v>1266785</v>
      </c>
      <c r="M2248" s="2">
        <v>90274</v>
      </c>
      <c r="N2248" s="2">
        <v>0</v>
      </c>
      <c r="O2248" s="2">
        <v>73865</v>
      </c>
      <c r="P2248" t="s">
        <v>24</v>
      </c>
      <c r="Q2248" t="s">
        <v>24</v>
      </c>
    </row>
    <row r="2249" spans="1:17" x14ac:dyDescent="0.25">
      <c r="A2249" t="s">
        <v>5342</v>
      </c>
      <c r="B2249" t="s">
        <v>5343</v>
      </c>
      <c r="C2249" s="1">
        <v>41275</v>
      </c>
      <c r="D2249" s="1">
        <v>41639</v>
      </c>
      <c r="E2249" t="s">
        <v>5344</v>
      </c>
      <c r="G2249" t="s">
        <v>2354</v>
      </c>
      <c r="H2249" t="s">
        <v>42</v>
      </c>
      <c r="I2249" t="str">
        <f>"53589"</f>
        <v>53589</v>
      </c>
      <c r="J2249" t="s">
        <v>63</v>
      </c>
      <c r="K2249" t="s">
        <v>64</v>
      </c>
      <c r="L2249" s="2">
        <v>1266445</v>
      </c>
      <c r="M2249" s="2">
        <v>147323</v>
      </c>
      <c r="N2249" s="2">
        <v>0</v>
      </c>
      <c r="O2249" s="2">
        <v>97084</v>
      </c>
      <c r="P2249" s="2">
        <v>8276</v>
      </c>
      <c r="Q2249" s="2">
        <v>907</v>
      </c>
    </row>
    <row r="2250" spans="1:17" x14ac:dyDescent="0.25">
      <c r="A2250" t="s">
        <v>2777</v>
      </c>
      <c r="B2250" t="s">
        <v>2778</v>
      </c>
      <c r="C2250" s="1">
        <v>41365</v>
      </c>
      <c r="D2250" s="1">
        <v>41729</v>
      </c>
      <c r="E2250" t="s">
        <v>2297</v>
      </c>
      <c r="G2250" t="s">
        <v>364</v>
      </c>
      <c r="H2250" t="s">
        <v>21</v>
      </c>
      <c r="I2250" t="str">
        <f>"47702"</f>
        <v>47702</v>
      </c>
      <c r="J2250" t="s">
        <v>22</v>
      </c>
      <c r="K2250" t="s">
        <v>91</v>
      </c>
      <c r="L2250" s="2">
        <v>1263273</v>
      </c>
      <c r="M2250" s="2">
        <v>245599</v>
      </c>
      <c r="N2250" s="2">
        <v>0</v>
      </c>
      <c r="O2250" s="2">
        <v>62959</v>
      </c>
      <c r="P2250" t="s">
        <v>24</v>
      </c>
      <c r="Q2250" t="s">
        <v>24</v>
      </c>
    </row>
    <row r="2251" spans="1:17" x14ac:dyDescent="0.25">
      <c r="A2251" t="s">
        <v>1022</v>
      </c>
      <c r="B2251" t="s">
        <v>1023</v>
      </c>
      <c r="C2251" s="1">
        <v>41275</v>
      </c>
      <c r="D2251" s="1">
        <v>41639</v>
      </c>
      <c r="E2251" t="s">
        <v>1024</v>
      </c>
      <c r="G2251" t="s">
        <v>432</v>
      </c>
      <c r="H2251" t="s">
        <v>47</v>
      </c>
      <c r="I2251" t="str">
        <f>"49423"</f>
        <v>49423</v>
      </c>
      <c r="J2251" t="s">
        <v>22</v>
      </c>
      <c r="K2251" t="s">
        <v>23</v>
      </c>
      <c r="L2251" s="2">
        <v>1261822</v>
      </c>
      <c r="M2251" s="2">
        <v>1178154</v>
      </c>
      <c r="N2251" s="2">
        <v>0</v>
      </c>
      <c r="O2251" s="2">
        <v>1632052</v>
      </c>
      <c r="P2251" t="s">
        <v>24</v>
      </c>
      <c r="Q2251" t="s">
        <v>24</v>
      </c>
    </row>
    <row r="2252" spans="1:17" x14ac:dyDescent="0.25">
      <c r="A2252" t="s">
        <v>1063</v>
      </c>
      <c r="B2252" t="s">
        <v>1064</v>
      </c>
      <c r="C2252" s="1">
        <v>41275</v>
      </c>
      <c r="D2252" s="1">
        <v>41639</v>
      </c>
      <c r="E2252" t="s">
        <v>1065</v>
      </c>
      <c r="G2252" t="s">
        <v>1066</v>
      </c>
      <c r="H2252" t="s">
        <v>29</v>
      </c>
      <c r="I2252" t="str">
        <f>"61938"</f>
        <v>61938</v>
      </c>
      <c r="J2252" t="s">
        <v>22</v>
      </c>
      <c r="K2252" t="s">
        <v>30</v>
      </c>
      <c r="L2252" s="2">
        <v>1261549</v>
      </c>
      <c r="M2252" s="2">
        <v>161364</v>
      </c>
      <c r="N2252" s="2">
        <v>0</v>
      </c>
      <c r="O2252" s="2">
        <v>56487</v>
      </c>
      <c r="P2252" t="s">
        <v>24</v>
      </c>
      <c r="Q2252" t="s">
        <v>24</v>
      </c>
    </row>
    <row r="2253" spans="1:17" x14ac:dyDescent="0.25">
      <c r="A2253" t="s">
        <v>4537</v>
      </c>
      <c r="B2253" t="s">
        <v>4538</v>
      </c>
      <c r="C2253" s="1">
        <v>41275</v>
      </c>
      <c r="D2253" s="1">
        <v>41639</v>
      </c>
      <c r="E2253" t="s">
        <v>4539</v>
      </c>
      <c r="G2253" t="s">
        <v>20</v>
      </c>
      <c r="H2253" t="s">
        <v>21</v>
      </c>
      <c r="I2253" t="str">
        <f>"46260"</f>
        <v>46260</v>
      </c>
      <c r="J2253" t="s">
        <v>22</v>
      </c>
      <c r="K2253" t="s">
        <v>30</v>
      </c>
      <c r="L2253" s="2">
        <v>1259896</v>
      </c>
      <c r="M2253" s="2">
        <v>1022397</v>
      </c>
      <c r="N2253" s="2">
        <v>0</v>
      </c>
      <c r="O2253" s="2">
        <v>81036</v>
      </c>
      <c r="P2253" t="s">
        <v>24</v>
      </c>
      <c r="Q2253" t="s">
        <v>24</v>
      </c>
    </row>
    <row r="2254" spans="1:17" x14ac:dyDescent="0.25">
      <c r="A2254" t="s">
        <v>1823</v>
      </c>
      <c r="B2254" t="s">
        <v>1824</v>
      </c>
      <c r="C2254" s="1">
        <v>41275</v>
      </c>
      <c r="D2254" s="1">
        <v>41639</v>
      </c>
      <c r="E2254" t="s">
        <v>1825</v>
      </c>
      <c r="G2254" t="s">
        <v>1826</v>
      </c>
      <c r="H2254" t="s">
        <v>21</v>
      </c>
      <c r="I2254" t="str">
        <f>"46992"</f>
        <v>46992</v>
      </c>
      <c r="J2254" t="s">
        <v>63</v>
      </c>
      <c r="K2254" t="s">
        <v>79</v>
      </c>
      <c r="L2254" s="2">
        <v>1259690</v>
      </c>
      <c r="M2254" s="2">
        <v>322167</v>
      </c>
      <c r="N2254" s="2">
        <v>0</v>
      </c>
      <c r="O2254" s="2">
        <v>224442</v>
      </c>
      <c r="P2254" s="2">
        <v>0</v>
      </c>
      <c r="Q2254" s="2">
        <v>0</v>
      </c>
    </row>
    <row r="2255" spans="1:17" x14ac:dyDescent="0.25">
      <c r="A2255" t="s">
        <v>2348</v>
      </c>
      <c r="B2255" t="s">
        <v>2349</v>
      </c>
      <c r="C2255" s="1">
        <v>41275</v>
      </c>
      <c r="D2255" s="1">
        <v>41639</v>
      </c>
      <c r="E2255" t="s">
        <v>2350</v>
      </c>
      <c r="G2255" t="s">
        <v>1920</v>
      </c>
      <c r="H2255" t="s">
        <v>47</v>
      </c>
      <c r="I2255" t="str">
        <f>"48334"</f>
        <v>48334</v>
      </c>
      <c r="J2255" t="s">
        <v>22</v>
      </c>
      <c r="K2255" t="s">
        <v>23</v>
      </c>
      <c r="L2255" s="2">
        <v>1258767</v>
      </c>
      <c r="M2255" s="2">
        <v>670265</v>
      </c>
      <c r="N2255" s="2">
        <v>0</v>
      </c>
      <c r="O2255" s="2">
        <v>138069</v>
      </c>
      <c r="P2255" t="s">
        <v>24</v>
      </c>
      <c r="Q2255" t="s">
        <v>24</v>
      </c>
    </row>
    <row r="2256" spans="1:17" x14ac:dyDescent="0.25">
      <c r="A2256" t="s">
        <v>5478</v>
      </c>
      <c r="B2256" t="s">
        <v>5479</v>
      </c>
      <c r="C2256" s="1">
        <v>41183</v>
      </c>
      <c r="D2256" s="1">
        <v>41547</v>
      </c>
      <c r="E2256" t="s">
        <v>5480</v>
      </c>
      <c r="G2256" t="s">
        <v>353</v>
      </c>
      <c r="H2256" t="s">
        <v>62</v>
      </c>
      <c r="I2256" t="str">
        <f>"43220"</f>
        <v>43220</v>
      </c>
      <c r="J2256" t="s">
        <v>63</v>
      </c>
      <c r="K2256" t="s">
        <v>23</v>
      </c>
      <c r="L2256" s="2">
        <v>1257895</v>
      </c>
      <c r="M2256" s="2">
        <v>64016</v>
      </c>
      <c r="N2256" s="2">
        <v>0</v>
      </c>
      <c r="O2256" s="2">
        <v>32745</v>
      </c>
      <c r="P2256" s="2">
        <v>10525</v>
      </c>
      <c r="Q2256" s="2">
        <v>0</v>
      </c>
    </row>
    <row r="2257" spans="1:17" x14ac:dyDescent="0.25">
      <c r="A2257" t="s">
        <v>5824</v>
      </c>
      <c r="B2257" t="s">
        <v>5825</v>
      </c>
      <c r="C2257" s="1">
        <v>41275</v>
      </c>
      <c r="D2257" s="1">
        <v>41639</v>
      </c>
      <c r="E2257" t="s">
        <v>5826</v>
      </c>
      <c r="G2257" t="s">
        <v>28</v>
      </c>
      <c r="H2257" t="s">
        <v>29</v>
      </c>
      <c r="I2257" t="str">
        <f>"60654"</f>
        <v>60654</v>
      </c>
      <c r="J2257" t="s">
        <v>22</v>
      </c>
      <c r="K2257" t="s">
        <v>30</v>
      </c>
      <c r="L2257" s="2">
        <v>1256407</v>
      </c>
      <c r="M2257" s="2">
        <v>280660</v>
      </c>
      <c r="N2257" s="2">
        <v>0</v>
      </c>
      <c r="O2257" s="2">
        <v>125939</v>
      </c>
      <c r="P2257" t="s">
        <v>24</v>
      </c>
      <c r="Q2257" t="s">
        <v>24</v>
      </c>
    </row>
    <row r="2258" spans="1:17" x14ac:dyDescent="0.25">
      <c r="A2258" t="s">
        <v>5097</v>
      </c>
      <c r="B2258" t="s">
        <v>5098</v>
      </c>
      <c r="C2258" s="1">
        <v>41456</v>
      </c>
      <c r="D2258" s="1">
        <v>41820</v>
      </c>
      <c r="E2258" t="s">
        <v>1535</v>
      </c>
      <c r="G2258" t="s">
        <v>41</v>
      </c>
      <c r="H2258" t="s">
        <v>42</v>
      </c>
      <c r="I2258" t="str">
        <f>"53201"</f>
        <v>53201</v>
      </c>
      <c r="J2258" t="s">
        <v>22</v>
      </c>
      <c r="K2258" t="s">
        <v>23</v>
      </c>
      <c r="L2258" s="2">
        <v>1256206</v>
      </c>
      <c r="M2258" s="2">
        <v>945081</v>
      </c>
      <c r="N2258" s="2">
        <v>0</v>
      </c>
      <c r="O2258" s="2">
        <v>73179</v>
      </c>
      <c r="P2258" t="s">
        <v>24</v>
      </c>
      <c r="Q2258" t="s">
        <v>24</v>
      </c>
    </row>
    <row r="2259" spans="1:17" x14ac:dyDescent="0.25">
      <c r="A2259" t="s">
        <v>823</v>
      </c>
      <c r="B2259" t="s">
        <v>824</v>
      </c>
      <c r="C2259" s="1">
        <v>40909</v>
      </c>
      <c r="D2259" s="1">
        <v>41274</v>
      </c>
      <c r="E2259" t="s">
        <v>825</v>
      </c>
      <c r="G2259" t="s">
        <v>684</v>
      </c>
      <c r="H2259" t="s">
        <v>21</v>
      </c>
      <c r="I2259" t="str">
        <f>"47903"</f>
        <v>47903</v>
      </c>
      <c r="J2259" t="s">
        <v>22</v>
      </c>
      <c r="K2259" t="s">
        <v>23</v>
      </c>
      <c r="L2259" s="2">
        <v>1255799</v>
      </c>
      <c r="M2259" s="2">
        <v>391798</v>
      </c>
      <c r="N2259" s="2">
        <v>0</v>
      </c>
      <c r="O2259" s="2">
        <v>59590</v>
      </c>
      <c r="P2259" t="s">
        <v>24</v>
      </c>
      <c r="Q2259" t="s">
        <v>24</v>
      </c>
    </row>
    <row r="2260" spans="1:17" x14ac:dyDescent="0.25">
      <c r="A2260" t="s">
        <v>2807</v>
      </c>
      <c r="B2260" t="s">
        <v>2808</v>
      </c>
      <c r="E2260" t="s">
        <v>2809</v>
      </c>
      <c r="G2260" t="s">
        <v>2810</v>
      </c>
      <c r="H2260" t="s">
        <v>47</v>
      </c>
      <c r="I2260" t="str">
        <f>"48025"</f>
        <v>48025</v>
      </c>
      <c r="J2260" t="s">
        <v>22</v>
      </c>
      <c r="K2260" t="s">
        <v>23</v>
      </c>
      <c r="L2260" s="2">
        <v>1255495</v>
      </c>
      <c r="M2260" s="2">
        <v>1946092</v>
      </c>
      <c r="N2260" s="2">
        <v>0</v>
      </c>
      <c r="O2260" t="s">
        <v>24</v>
      </c>
      <c r="P2260" t="s">
        <v>24</v>
      </c>
      <c r="Q2260" t="s">
        <v>24</v>
      </c>
    </row>
    <row r="2261" spans="1:17" x14ac:dyDescent="0.25">
      <c r="A2261" t="s">
        <v>4422</v>
      </c>
      <c r="B2261" t="s">
        <v>4423</v>
      </c>
      <c r="C2261" s="1">
        <v>41426</v>
      </c>
      <c r="D2261" s="1">
        <v>41790</v>
      </c>
      <c r="E2261" t="s">
        <v>4424</v>
      </c>
      <c r="G2261" t="s">
        <v>143</v>
      </c>
      <c r="H2261" t="s">
        <v>47</v>
      </c>
      <c r="I2261" t="str">
        <f>"48201"</f>
        <v>48201</v>
      </c>
      <c r="J2261" t="s">
        <v>63</v>
      </c>
      <c r="K2261" t="s">
        <v>30</v>
      </c>
      <c r="L2261" s="2">
        <v>1254384</v>
      </c>
      <c r="M2261" s="2">
        <v>74224</v>
      </c>
      <c r="N2261" s="2">
        <v>3000</v>
      </c>
      <c r="O2261" s="2">
        <v>30927</v>
      </c>
      <c r="P2261" s="2">
        <v>14162</v>
      </c>
      <c r="Q2261" s="2">
        <v>0</v>
      </c>
    </row>
    <row r="2262" spans="1:17" x14ac:dyDescent="0.25">
      <c r="A2262" t="s">
        <v>6248</v>
      </c>
      <c r="B2262" t="s">
        <v>6249</v>
      </c>
      <c r="C2262" s="1">
        <v>41275</v>
      </c>
      <c r="D2262" s="1">
        <v>41639</v>
      </c>
      <c r="E2262" t="s">
        <v>6250</v>
      </c>
      <c r="G2262" t="s">
        <v>353</v>
      </c>
      <c r="H2262" t="s">
        <v>62</v>
      </c>
      <c r="I2262" t="str">
        <f>"43215"</f>
        <v>43215</v>
      </c>
      <c r="J2262" t="s">
        <v>22</v>
      </c>
      <c r="K2262" t="s">
        <v>91</v>
      </c>
      <c r="L2262" s="2">
        <v>1251099</v>
      </c>
      <c r="M2262" s="2">
        <v>1079340</v>
      </c>
      <c r="N2262" s="2">
        <v>0</v>
      </c>
      <c r="O2262" s="2">
        <v>71860</v>
      </c>
      <c r="P2262" t="s">
        <v>24</v>
      </c>
      <c r="Q2262" t="s">
        <v>24</v>
      </c>
    </row>
    <row r="2263" spans="1:17" x14ac:dyDescent="0.25">
      <c r="A2263" t="s">
        <v>6794</v>
      </c>
      <c r="B2263" t="s">
        <v>6795</v>
      </c>
      <c r="C2263" s="1">
        <v>40909</v>
      </c>
      <c r="D2263" s="1">
        <v>41274</v>
      </c>
      <c r="E2263" t="s">
        <v>6796</v>
      </c>
      <c r="G2263" t="s">
        <v>1054</v>
      </c>
      <c r="H2263" t="s">
        <v>47</v>
      </c>
      <c r="I2263" t="str">
        <f>"48323"</f>
        <v>48323</v>
      </c>
      <c r="J2263" t="s">
        <v>22</v>
      </c>
      <c r="K2263" t="s">
        <v>79</v>
      </c>
      <c r="L2263" s="2">
        <v>1250372</v>
      </c>
      <c r="M2263" s="2">
        <v>1410051</v>
      </c>
      <c r="N2263" s="2">
        <v>6135</v>
      </c>
      <c r="O2263" s="2">
        <v>69486</v>
      </c>
      <c r="P2263" t="s">
        <v>24</v>
      </c>
      <c r="Q2263" t="s">
        <v>24</v>
      </c>
    </row>
    <row r="2264" spans="1:17" x14ac:dyDescent="0.25">
      <c r="A2264" t="s">
        <v>977</v>
      </c>
      <c r="B2264" t="s">
        <v>978</v>
      </c>
      <c r="C2264" s="1">
        <v>41275</v>
      </c>
      <c r="D2264" s="1">
        <v>41639</v>
      </c>
      <c r="E2264" t="s">
        <v>979</v>
      </c>
      <c r="G2264" t="s">
        <v>980</v>
      </c>
      <c r="H2264" t="s">
        <v>21</v>
      </c>
      <c r="I2264" t="str">
        <f>"47006"</f>
        <v>47006</v>
      </c>
      <c r="J2264" t="s">
        <v>22</v>
      </c>
      <c r="K2264" t="s">
        <v>30</v>
      </c>
      <c r="L2264" s="2">
        <v>1249425</v>
      </c>
      <c r="M2264" s="2">
        <v>873002</v>
      </c>
      <c r="N2264" s="2">
        <v>0</v>
      </c>
      <c r="O2264" s="2">
        <v>78643</v>
      </c>
      <c r="P2264" t="s">
        <v>24</v>
      </c>
      <c r="Q2264" t="s">
        <v>24</v>
      </c>
    </row>
    <row r="2265" spans="1:17" x14ac:dyDescent="0.25">
      <c r="A2265" t="s">
        <v>2019</v>
      </c>
      <c r="B2265" t="s">
        <v>2020</v>
      </c>
      <c r="C2265" s="1">
        <v>41275</v>
      </c>
      <c r="D2265" s="1">
        <v>41639</v>
      </c>
      <c r="E2265" t="s">
        <v>2021</v>
      </c>
      <c r="G2265" t="s">
        <v>77</v>
      </c>
      <c r="H2265" t="s">
        <v>78</v>
      </c>
      <c r="I2265" t="str">
        <f>"40205"</f>
        <v>40205</v>
      </c>
      <c r="J2265" t="s">
        <v>22</v>
      </c>
      <c r="K2265" t="s">
        <v>23</v>
      </c>
      <c r="L2265" s="2">
        <v>1246423</v>
      </c>
      <c r="M2265" s="2">
        <v>112823</v>
      </c>
      <c r="N2265" s="2">
        <v>0</v>
      </c>
      <c r="O2265" s="2">
        <v>68795</v>
      </c>
      <c r="P2265" t="s">
        <v>24</v>
      </c>
      <c r="Q2265" t="s">
        <v>24</v>
      </c>
    </row>
    <row r="2266" spans="1:17" x14ac:dyDescent="0.25">
      <c r="A2266" t="s">
        <v>5088</v>
      </c>
      <c r="B2266" t="s">
        <v>5089</v>
      </c>
      <c r="C2266" s="1">
        <v>41275</v>
      </c>
      <c r="D2266" s="1">
        <v>41639</v>
      </c>
      <c r="E2266" t="s">
        <v>5090</v>
      </c>
      <c r="G2266" t="s">
        <v>77</v>
      </c>
      <c r="H2266" t="s">
        <v>78</v>
      </c>
      <c r="I2266" t="str">
        <f>"40207"</f>
        <v>40207</v>
      </c>
      <c r="J2266" t="s">
        <v>22</v>
      </c>
      <c r="K2266" t="s">
        <v>30</v>
      </c>
      <c r="L2266" s="2">
        <v>1245981</v>
      </c>
      <c r="M2266" s="2">
        <v>152658</v>
      </c>
      <c r="N2266" s="2">
        <v>0</v>
      </c>
      <c r="O2266" s="2">
        <v>63688</v>
      </c>
      <c r="P2266" t="s">
        <v>24</v>
      </c>
      <c r="Q2266" t="s">
        <v>24</v>
      </c>
    </row>
    <row r="2267" spans="1:17" x14ac:dyDescent="0.25">
      <c r="A2267" t="s">
        <v>4502</v>
      </c>
      <c r="B2267" t="s">
        <v>4503</v>
      </c>
      <c r="C2267" s="1">
        <v>41275</v>
      </c>
      <c r="D2267" s="1">
        <v>41639</v>
      </c>
      <c r="E2267" t="s">
        <v>4504</v>
      </c>
      <c r="G2267" t="s">
        <v>28</v>
      </c>
      <c r="H2267" t="s">
        <v>29</v>
      </c>
      <c r="I2267" t="str">
        <f>"60611"</f>
        <v>60611</v>
      </c>
      <c r="J2267" t="s">
        <v>22</v>
      </c>
      <c r="K2267" t="s">
        <v>30</v>
      </c>
      <c r="L2267" s="2">
        <v>1243644</v>
      </c>
      <c r="M2267" s="2">
        <v>36883</v>
      </c>
      <c r="N2267" s="2">
        <v>0</v>
      </c>
      <c r="O2267" s="2">
        <v>61810</v>
      </c>
      <c r="P2267" t="s">
        <v>24</v>
      </c>
      <c r="Q2267" t="s">
        <v>24</v>
      </c>
    </row>
    <row r="2268" spans="1:17" x14ac:dyDescent="0.25">
      <c r="A2268" t="s">
        <v>1806</v>
      </c>
      <c r="B2268" t="s">
        <v>1807</v>
      </c>
      <c r="C2268" s="1">
        <v>41275</v>
      </c>
      <c r="D2268" s="1">
        <v>41639</v>
      </c>
      <c r="E2268" t="s">
        <v>1808</v>
      </c>
      <c r="G2268" t="s">
        <v>1809</v>
      </c>
      <c r="H2268" t="s">
        <v>29</v>
      </c>
      <c r="I2268" t="str">
        <f>"60045"</f>
        <v>60045</v>
      </c>
      <c r="J2268" t="s">
        <v>22</v>
      </c>
      <c r="K2268" t="s">
        <v>30</v>
      </c>
      <c r="L2268" s="2">
        <v>1242866</v>
      </c>
      <c r="M2268" s="2">
        <v>767551</v>
      </c>
      <c r="N2268" s="2">
        <v>0</v>
      </c>
      <c r="O2268" s="2">
        <v>64208</v>
      </c>
      <c r="P2268" t="s">
        <v>24</v>
      </c>
      <c r="Q2268" t="s">
        <v>24</v>
      </c>
    </row>
    <row r="2269" spans="1:17" x14ac:dyDescent="0.25">
      <c r="A2269" t="s">
        <v>586</v>
      </c>
      <c r="B2269" t="s">
        <v>587</v>
      </c>
      <c r="C2269" s="1">
        <v>40909</v>
      </c>
      <c r="D2269" s="1">
        <v>41274</v>
      </c>
      <c r="E2269" t="s">
        <v>588</v>
      </c>
      <c r="G2269" t="s">
        <v>589</v>
      </c>
      <c r="H2269" t="s">
        <v>42</v>
      </c>
      <c r="I2269" t="str">
        <f>"54101"</f>
        <v>54101</v>
      </c>
      <c r="J2269" t="s">
        <v>22</v>
      </c>
      <c r="K2269" t="s">
        <v>30</v>
      </c>
      <c r="L2269" s="2">
        <v>1241840</v>
      </c>
      <c r="M2269" s="2">
        <v>350904</v>
      </c>
      <c r="N2269" s="2">
        <v>0</v>
      </c>
      <c r="O2269" s="2">
        <v>60314</v>
      </c>
      <c r="P2269" t="s">
        <v>24</v>
      </c>
      <c r="Q2269" t="s">
        <v>24</v>
      </c>
    </row>
    <row r="2270" spans="1:17" x14ac:dyDescent="0.25">
      <c r="A2270" t="s">
        <v>2343</v>
      </c>
      <c r="B2270" t="s">
        <v>2344</v>
      </c>
      <c r="E2270" t="s">
        <v>2345</v>
      </c>
      <c r="G2270" t="s">
        <v>28</v>
      </c>
      <c r="H2270" t="s">
        <v>29</v>
      </c>
      <c r="I2270" t="str">
        <f>"60610"</f>
        <v>60610</v>
      </c>
      <c r="J2270" t="s">
        <v>22</v>
      </c>
      <c r="K2270" t="s">
        <v>23</v>
      </c>
      <c r="L2270" s="2">
        <v>1240994</v>
      </c>
      <c r="M2270" s="2">
        <v>1240994</v>
      </c>
      <c r="N2270" s="2">
        <v>0</v>
      </c>
      <c r="O2270" t="s">
        <v>24</v>
      </c>
      <c r="P2270" t="s">
        <v>24</v>
      </c>
      <c r="Q2270" t="s">
        <v>24</v>
      </c>
    </row>
    <row r="2271" spans="1:17" x14ac:dyDescent="0.25">
      <c r="A2271" t="s">
        <v>1406</v>
      </c>
      <c r="B2271" t="s">
        <v>1407</v>
      </c>
      <c r="E2271" t="s">
        <v>1408</v>
      </c>
      <c r="G2271" t="s">
        <v>28</v>
      </c>
      <c r="H2271" t="s">
        <v>29</v>
      </c>
      <c r="I2271" t="str">
        <f>"60603"</f>
        <v>60603</v>
      </c>
      <c r="J2271" t="s">
        <v>22</v>
      </c>
      <c r="K2271" t="s">
        <v>30</v>
      </c>
      <c r="L2271" s="2">
        <v>1239153</v>
      </c>
      <c r="M2271" s="2">
        <v>2827689</v>
      </c>
      <c r="N2271" s="2">
        <v>0</v>
      </c>
      <c r="O2271" t="s">
        <v>24</v>
      </c>
      <c r="P2271" t="s">
        <v>24</v>
      </c>
      <c r="Q2271" t="s">
        <v>24</v>
      </c>
    </row>
    <row r="2272" spans="1:17" x14ac:dyDescent="0.25">
      <c r="A2272" t="s">
        <v>3254</v>
      </c>
      <c r="B2272" t="s">
        <v>3255</v>
      </c>
      <c r="E2272" t="s">
        <v>3256</v>
      </c>
      <c r="G2272" t="s">
        <v>113</v>
      </c>
      <c r="H2272" t="s">
        <v>42</v>
      </c>
      <c r="I2272" t="str">
        <f>"53186"</f>
        <v>53186</v>
      </c>
      <c r="J2272" t="s">
        <v>752</v>
      </c>
      <c r="K2272" t="s">
        <v>753</v>
      </c>
      <c r="L2272" s="2">
        <v>1237029</v>
      </c>
      <c r="M2272" s="2">
        <v>28041</v>
      </c>
      <c r="N2272" s="2">
        <v>0</v>
      </c>
      <c r="O2272" t="s">
        <v>24</v>
      </c>
      <c r="P2272" t="s">
        <v>24</v>
      </c>
      <c r="Q2272" t="s">
        <v>24</v>
      </c>
    </row>
    <row r="2273" spans="1:17" x14ac:dyDescent="0.25">
      <c r="A2273" t="s">
        <v>4558</v>
      </c>
      <c r="B2273" t="s">
        <v>4559</v>
      </c>
      <c r="E2273" t="s">
        <v>3321</v>
      </c>
      <c r="G2273" t="s">
        <v>353</v>
      </c>
      <c r="H2273" t="s">
        <v>62</v>
      </c>
      <c r="I2273" t="str">
        <f>"43216"</f>
        <v>43216</v>
      </c>
      <c r="J2273" t="s">
        <v>22</v>
      </c>
      <c r="K2273" t="s">
        <v>30</v>
      </c>
      <c r="L2273" s="2">
        <v>1236394</v>
      </c>
      <c r="M2273" s="2">
        <v>1705996</v>
      </c>
      <c r="N2273" s="2">
        <v>0</v>
      </c>
      <c r="O2273" t="s">
        <v>24</v>
      </c>
      <c r="P2273" t="s">
        <v>24</v>
      </c>
      <c r="Q2273" t="s">
        <v>24</v>
      </c>
    </row>
    <row r="2274" spans="1:17" x14ac:dyDescent="0.25">
      <c r="A2274" t="s">
        <v>2367</v>
      </c>
      <c r="B2274" t="s">
        <v>2368</v>
      </c>
      <c r="C2274" s="1">
        <v>41275</v>
      </c>
      <c r="D2274" s="1">
        <v>41639</v>
      </c>
      <c r="E2274" t="s">
        <v>2369</v>
      </c>
      <c r="G2274" t="s">
        <v>41</v>
      </c>
      <c r="H2274" t="s">
        <v>42</v>
      </c>
      <c r="I2274" t="str">
        <f>"53202"</f>
        <v>53202</v>
      </c>
      <c r="J2274" t="s">
        <v>22</v>
      </c>
      <c r="K2274" t="s">
        <v>30</v>
      </c>
      <c r="L2274" s="2">
        <v>1232075</v>
      </c>
      <c r="M2274" s="2">
        <v>193997</v>
      </c>
      <c r="N2274" s="2">
        <v>0</v>
      </c>
      <c r="O2274" s="2">
        <v>105881</v>
      </c>
      <c r="P2274" t="s">
        <v>24</v>
      </c>
      <c r="Q2274" t="s">
        <v>24</v>
      </c>
    </row>
    <row r="2275" spans="1:17" x14ac:dyDescent="0.25">
      <c r="A2275" t="s">
        <v>402</v>
      </c>
      <c r="B2275" t="s">
        <v>403</v>
      </c>
      <c r="C2275" s="1">
        <v>40909</v>
      </c>
      <c r="D2275" s="1">
        <v>41274</v>
      </c>
      <c r="E2275" t="s">
        <v>404</v>
      </c>
      <c r="G2275" t="s">
        <v>405</v>
      </c>
      <c r="H2275" t="s">
        <v>42</v>
      </c>
      <c r="I2275" t="str">
        <f>"53598"</f>
        <v>53598</v>
      </c>
      <c r="J2275" t="s">
        <v>22</v>
      </c>
      <c r="K2275" t="s">
        <v>30</v>
      </c>
      <c r="L2275" s="2">
        <v>1230927</v>
      </c>
      <c r="M2275" s="2">
        <v>237825</v>
      </c>
      <c r="N2275" s="2">
        <v>0</v>
      </c>
      <c r="O2275" s="2">
        <v>59272</v>
      </c>
      <c r="P2275" t="s">
        <v>24</v>
      </c>
      <c r="Q2275" t="s">
        <v>24</v>
      </c>
    </row>
    <row r="2276" spans="1:17" x14ac:dyDescent="0.25">
      <c r="A2276" t="s">
        <v>3672</v>
      </c>
      <c r="B2276" t="s">
        <v>3673</v>
      </c>
      <c r="C2276" s="1">
        <v>41275</v>
      </c>
      <c r="D2276" s="1">
        <v>41639</v>
      </c>
      <c r="E2276" t="s">
        <v>3674</v>
      </c>
      <c r="G2276" t="s">
        <v>3675</v>
      </c>
      <c r="H2276" t="s">
        <v>62</v>
      </c>
      <c r="I2276" t="str">
        <f>"45242"</f>
        <v>45242</v>
      </c>
      <c r="J2276" t="s">
        <v>22</v>
      </c>
      <c r="K2276" t="s">
        <v>30</v>
      </c>
      <c r="L2276" s="2">
        <v>1230918</v>
      </c>
      <c r="M2276" s="2">
        <v>492948</v>
      </c>
      <c r="N2276" s="2">
        <v>0</v>
      </c>
      <c r="O2276" s="2">
        <v>96165</v>
      </c>
      <c r="P2276" t="s">
        <v>24</v>
      </c>
      <c r="Q2276" t="s">
        <v>24</v>
      </c>
    </row>
    <row r="2277" spans="1:17" x14ac:dyDescent="0.25">
      <c r="A2277" t="s">
        <v>5127</v>
      </c>
      <c r="B2277" t="s">
        <v>5128</v>
      </c>
      <c r="C2277" s="1">
        <v>41275</v>
      </c>
      <c r="D2277" s="1">
        <v>41639</v>
      </c>
      <c r="E2277" t="s">
        <v>5129</v>
      </c>
      <c r="G2277" t="s">
        <v>987</v>
      </c>
      <c r="H2277" t="s">
        <v>47</v>
      </c>
      <c r="I2277" t="str">
        <f>"48012"</f>
        <v>48012</v>
      </c>
      <c r="J2277" t="s">
        <v>22</v>
      </c>
      <c r="K2277" t="s">
        <v>30</v>
      </c>
      <c r="L2277" s="2">
        <v>1230618</v>
      </c>
      <c r="M2277" s="2">
        <v>1395140</v>
      </c>
      <c r="N2277" s="2">
        <v>0</v>
      </c>
      <c r="O2277" s="2">
        <v>54233</v>
      </c>
      <c r="P2277" t="s">
        <v>24</v>
      </c>
      <c r="Q2277" t="s">
        <v>24</v>
      </c>
    </row>
    <row r="2278" spans="1:17" x14ac:dyDescent="0.25">
      <c r="A2278" t="s">
        <v>2618</v>
      </c>
      <c r="B2278" t="s">
        <v>2619</v>
      </c>
      <c r="C2278" s="1">
        <v>41275</v>
      </c>
      <c r="D2278" s="1">
        <v>41639</v>
      </c>
      <c r="E2278" t="s">
        <v>2620</v>
      </c>
      <c r="G2278" t="s">
        <v>167</v>
      </c>
      <c r="H2278" t="s">
        <v>62</v>
      </c>
      <c r="I2278" t="str">
        <f>"45208"</f>
        <v>45208</v>
      </c>
      <c r="J2278" t="s">
        <v>22</v>
      </c>
      <c r="K2278" t="s">
        <v>30</v>
      </c>
      <c r="L2278" s="2">
        <v>1230149</v>
      </c>
      <c r="M2278" s="2">
        <v>52467</v>
      </c>
      <c r="N2278" s="2">
        <v>0</v>
      </c>
      <c r="O2278" s="2">
        <v>65768</v>
      </c>
      <c r="P2278" t="s">
        <v>24</v>
      </c>
      <c r="Q2278" t="s">
        <v>24</v>
      </c>
    </row>
    <row r="2279" spans="1:17" x14ac:dyDescent="0.25">
      <c r="A2279" t="s">
        <v>5162</v>
      </c>
      <c r="B2279" t="s">
        <v>5163</v>
      </c>
      <c r="C2279" s="1">
        <v>41275</v>
      </c>
      <c r="D2279" s="1">
        <v>41639</v>
      </c>
      <c r="E2279" t="s">
        <v>5164</v>
      </c>
      <c r="G2279" t="s">
        <v>143</v>
      </c>
      <c r="H2279" t="s">
        <v>47</v>
      </c>
      <c r="I2279" t="str">
        <f>"48201"</f>
        <v>48201</v>
      </c>
      <c r="J2279" t="s">
        <v>63</v>
      </c>
      <c r="K2279" t="s">
        <v>23</v>
      </c>
      <c r="L2279" s="2">
        <v>1227331</v>
      </c>
      <c r="M2279" s="2">
        <v>2991225</v>
      </c>
      <c r="N2279" s="2">
        <v>5114098</v>
      </c>
      <c r="O2279" s="2">
        <v>3605888</v>
      </c>
      <c r="P2279" s="2">
        <v>332615</v>
      </c>
      <c r="Q2279" s="2">
        <v>0</v>
      </c>
    </row>
    <row r="2280" spans="1:17" x14ac:dyDescent="0.25">
      <c r="A2280" t="s">
        <v>2511</v>
      </c>
      <c r="B2280" t="s">
        <v>2512</v>
      </c>
      <c r="C2280" s="1">
        <v>41275</v>
      </c>
      <c r="D2280" s="1">
        <v>41639</v>
      </c>
      <c r="E2280" t="s">
        <v>2513</v>
      </c>
      <c r="G2280" t="s">
        <v>20</v>
      </c>
      <c r="H2280" t="s">
        <v>21</v>
      </c>
      <c r="I2280" t="str">
        <f>"46204"</f>
        <v>46204</v>
      </c>
      <c r="J2280" t="s">
        <v>63</v>
      </c>
      <c r="K2280" t="s">
        <v>79</v>
      </c>
      <c r="L2280" s="2">
        <v>1227324</v>
      </c>
      <c r="M2280" s="2">
        <v>260744</v>
      </c>
      <c r="N2280" s="2">
        <v>2298</v>
      </c>
      <c r="O2280" s="2">
        <v>161010</v>
      </c>
      <c r="P2280" s="2">
        <v>0</v>
      </c>
      <c r="Q2280" s="2">
        <v>0</v>
      </c>
    </row>
    <row r="2281" spans="1:17" x14ac:dyDescent="0.25">
      <c r="A2281" t="s">
        <v>5890</v>
      </c>
      <c r="B2281" t="s">
        <v>5891</v>
      </c>
      <c r="C2281" s="1">
        <v>41000</v>
      </c>
      <c r="D2281" s="1">
        <v>41364</v>
      </c>
      <c r="E2281" t="s">
        <v>5892</v>
      </c>
      <c r="G2281" t="s">
        <v>5893</v>
      </c>
      <c r="H2281" t="s">
        <v>78</v>
      </c>
      <c r="I2281" t="str">
        <f>"42050"</f>
        <v>42050</v>
      </c>
      <c r="J2281" t="s">
        <v>63</v>
      </c>
      <c r="K2281" t="s">
        <v>79</v>
      </c>
      <c r="L2281" s="2">
        <v>1226938</v>
      </c>
      <c r="M2281" s="2">
        <v>973823</v>
      </c>
      <c r="N2281" s="2">
        <v>0</v>
      </c>
      <c r="O2281" s="2">
        <v>30964</v>
      </c>
      <c r="P2281" s="2">
        <v>0</v>
      </c>
      <c r="Q2281" s="2">
        <v>0</v>
      </c>
    </row>
    <row r="2282" spans="1:17" x14ac:dyDescent="0.25">
      <c r="A2282" t="s">
        <v>3113</v>
      </c>
      <c r="B2282" t="s">
        <v>3114</v>
      </c>
      <c r="C2282" s="1">
        <v>41275</v>
      </c>
      <c r="D2282" s="1">
        <v>41639</v>
      </c>
      <c r="E2282" t="s">
        <v>2708</v>
      </c>
      <c r="G2282" t="s">
        <v>3115</v>
      </c>
      <c r="H2282" t="s">
        <v>62</v>
      </c>
      <c r="I2282" t="str">
        <f>"44282"</f>
        <v>44282</v>
      </c>
      <c r="J2282" t="s">
        <v>22</v>
      </c>
      <c r="K2282" t="s">
        <v>23</v>
      </c>
      <c r="L2282" s="2">
        <v>1225598</v>
      </c>
      <c r="M2282" s="2">
        <v>365014</v>
      </c>
      <c r="N2282" s="2">
        <v>0</v>
      </c>
      <c r="O2282" s="2">
        <v>297907</v>
      </c>
      <c r="P2282" t="s">
        <v>24</v>
      </c>
      <c r="Q2282" t="s">
        <v>24</v>
      </c>
    </row>
    <row r="2283" spans="1:17" x14ac:dyDescent="0.25">
      <c r="A2283" t="s">
        <v>6043</v>
      </c>
      <c r="B2283" t="s">
        <v>6044</v>
      </c>
      <c r="C2283" s="1">
        <v>41275</v>
      </c>
      <c r="D2283" s="1">
        <v>41639</v>
      </c>
      <c r="E2283" t="s">
        <v>6045</v>
      </c>
      <c r="G2283" t="s">
        <v>28</v>
      </c>
      <c r="H2283" t="s">
        <v>29</v>
      </c>
      <c r="I2283" t="str">
        <f>"60610"</f>
        <v>60610</v>
      </c>
      <c r="J2283" t="s">
        <v>22</v>
      </c>
      <c r="K2283" t="s">
        <v>23</v>
      </c>
      <c r="L2283" s="2">
        <v>1225541</v>
      </c>
      <c r="M2283" s="2">
        <v>743192</v>
      </c>
      <c r="N2283" s="2">
        <v>0</v>
      </c>
      <c r="O2283" s="2">
        <v>57161</v>
      </c>
      <c r="P2283" t="s">
        <v>24</v>
      </c>
      <c r="Q2283" t="s">
        <v>24</v>
      </c>
    </row>
    <row r="2284" spans="1:17" x14ac:dyDescent="0.25">
      <c r="A2284" t="s">
        <v>4149</v>
      </c>
      <c r="B2284" t="s">
        <v>4150</v>
      </c>
      <c r="C2284" s="1">
        <v>41275</v>
      </c>
      <c r="D2284" s="1">
        <v>41639</v>
      </c>
      <c r="E2284" t="s">
        <v>4145</v>
      </c>
      <c r="G2284" t="s">
        <v>139</v>
      </c>
      <c r="H2284" t="s">
        <v>47</v>
      </c>
      <c r="I2284" t="str">
        <f>"49503"</f>
        <v>49503</v>
      </c>
      <c r="J2284" t="s">
        <v>22</v>
      </c>
      <c r="K2284" t="s">
        <v>23</v>
      </c>
      <c r="L2284" s="2">
        <v>1220549</v>
      </c>
      <c r="M2284" s="2">
        <v>53911</v>
      </c>
      <c r="N2284" s="2">
        <v>0</v>
      </c>
      <c r="O2284" s="2">
        <v>33656</v>
      </c>
      <c r="P2284" t="s">
        <v>24</v>
      </c>
      <c r="Q2284" t="s">
        <v>24</v>
      </c>
    </row>
    <row r="2285" spans="1:17" x14ac:dyDescent="0.25">
      <c r="A2285" t="s">
        <v>754</v>
      </c>
      <c r="B2285" t="s">
        <v>755</v>
      </c>
      <c r="C2285" s="1">
        <v>41275</v>
      </c>
      <c r="D2285" s="1">
        <v>41639</v>
      </c>
      <c r="E2285" t="s">
        <v>142</v>
      </c>
      <c r="G2285" t="s">
        <v>143</v>
      </c>
      <c r="H2285" t="s">
        <v>47</v>
      </c>
      <c r="I2285" t="str">
        <f>"48275"</f>
        <v>48275</v>
      </c>
      <c r="J2285" t="s">
        <v>22</v>
      </c>
      <c r="K2285" t="s">
        <v>30</v>
      </c>
      <c r="L2285" s="2">
        <v>1219847</v>
      </c>
      <c r="M2285" s="2">
        <v>446031</v>
      </c>
      <c r="N2285" s="2">
        <v>0</v>
      </c>
      <c r="O2285" s="2">
        <v>71113</v>
      </c>
      <c r="P2285" t="s">
        <v>24</v>
      </c>
      <c r="Q2285" t="s">
        <v>24</v>
      </c>
    </row>
    <row r="2286" spans="1:17" x14ac:dyDescent="0.25">
      <c r="A2286" t="s">
        <v>1715</v>
      </c>
      <c r="B2286" t="s">
        <v>1716</v>
      </c>
      <c r="C2286" s="1">
        <v>40909</v>
      </c>
      <c r="D2286" s="1">
        <v>41274</v>
      </c>
      <c r="E2286" t="s">
        <v>556</v>
      </c>
      <c r="G2286" t="s">
        <v>167</v>
      </c>
      <c r="H2286" t="s">
        <v>62</v>
      </c>
      <c r="I2286" t="str">
        <f>"45201"</f>
        <v>45201</v>
      </c>
      <c r="J2286" t="s">
        <v>22</v>
      </c>
      <c r="K2286" t="s">
        <v>23</v>
      </c>
      <c r="L2286" s="2">
        <v>1219024</v>
      </c>
      <c r="M2286" s="2">
        <v>191121</v>
      </c>
      <c r="N2286" s="2">
        <v>0</v>
      </c>
      <c r="O2286" s="2">
        <v>228637</v>
      </c>
      <c r="P2286" t="s">
        <v>24</v>
      </c>
      <c r="Q2286" t="s">
        <v>24</v>
      </c>
    </row>
    <row r="2287" spans="1:17" x14ac:dyDescent="0.25">
      <c r="A2287" t="s">
        <v>4708</v>
      </c>
      <c r="B2287" t="s">
        <v>4709</v>
      </c>
      <c r="C2287" s="1">
        <v>41091</v>
      </c>
      <c r="D2287" s="1">
        <v>41455</v>
      </c>
      <c r="E2287" t="s">
        <v>4710</v>
      </c>
      <c r="G2287" t="s">
        <v>4711</v>
      </c>
      <c r="H2287" t="s">
        <v>29</v>
      </c>
      <c r="I2287" t="str">
        <f>"60039"</f>
        <v>60039</v>
      </c>
      <c r="J2287" t="s">
        <v>22</v>
      </c>
      <c r="K2287" t="s">
        <v>23</v>
      </c>
      <c r="L2287" s="2">
        <v>1211625</v>
      </c>
      <c r="M2287" s="2">
        <v>538385</v>
      </c>
      <c r="N2287" s="2">
        <v>8000</v>
      </c>
      <c r="O2287" s="2">
        <v>76784</v>
      </c>
      <c r="P2287" t="s">
        <v>24</v>
      </c>
      <c r="Q2287" t="s">
        <v>24</v>
      </c>
    </row>
    <row r="2288" spans="1:17" x14ac:dyDescent="0.25">
      <c r="A2288" t="s">
        <v>2191</v>
      </c>
      <c r="B2288" t="s">
        <v>2192</v>
      </c>
      <c r="C2288" s="1">
        <v>41275</v>
      </c>
      <c r="D2288" s="1">
        <v>41639</v>
      </c>
      <c r="E2288" t="s">
        <v>2193</v>
      </c>
      <c r="G2288" t="s">
        <v>2194</v>
      </c>
      <c r="H2288" t="s">
        <v>29</v>
      </c>
      <c r="I2288" t="str">
        <f>"62806"</f>
        <v>62806</v>
      </c>
      <c r="J2288" t="s">
        <v>22</v>
      </c>
      <c r="K2288" t="s">
        <v>30</v>
      </c>
      <c r="L2288" s="2">
        <v>1209820</v>
      </c>
      <c r="M2288" s="2">
        <v>10251</v>
      </c>
      <c r="N2288" s="2">
        <v>0</v>
      </c>
      <c r="O2288" s="2">
        <v>4136</v>
      </c>
      <c r="P2288" t="s">
        <v>24</v>
      </c>
      <c r="Q2288" t="s">
        <v>24</v>
      </c>
    </row>
    <row r="2289" spans="1:17" x14ac:dyDescent="0.25">
      <c r="A2289" t="s">
        <v>697</v>
      </c>
      <c r="B2289" t="s">
        <v>698</v>
      </c>
      <c r="C2289" s="1">
        <v>41275</v>
      </c>
      <c r="D2289" s="1">
        <v>41639</v>
      </c>
      <c r="E2289" t="s">
        <v>699</v>
      </c>
      <c r="G2289" t="s">
        <v>337</v>
      </c>
      <c r="H2289" t="s">
        <v>62</v>
      </c>
      <c r="I2289" t="str">
        <f>"44115"</f>
        <v>44115</v>
      </c>
      <c r="J2289" t="s">
        <v>22</v>
      </c>
      <c r="K2289" t="s">
        <v>30</v>
      </c>
      <c r="L2289" s="2">
        <v>1209350</v>
      </c>
      <c r="M2289" s="2">
        <v>158083</v>
      </c>
      <c r="N2289" s="2">
        <v>0</v>
      </c>
      <c r="O2289" s="2">
        <v>79470</v>
      </c>
      <c r="P2289" t="s">
        <v>24</v>
      </c>
      <c r="Q2289" t="s">
        <v>24</v>
      </c>
    </row>
    <row r="2290" spans="1:17" x14ac:dyDescent="0.25">
      <c r="A2290" t="s">
        <v>2595</v>
      </c>
      <c r="B2290" t="s">
        <v>2596</v>
      </c>
      <c r="C2290" s="1">
        <v>41395</v>
      </c>
      <c r="D2290" s="1">
        <v>41759</v>
      </c>
      <c r="E2290" t="s">
        <v>104</v>
      </c>
      <c r="G2290" t="s">
        <v>28</v>
      </c>
      <c r="H2290" t="s">
        <v>29</v>
      </c>
      <c r="I2290" t="str">
        <f>"60680"</f>
        <v>60680</v>
      </c>
      <c r="J2290" t="s">
        <v>22</v>
      </c>
      <c r="K2290" t="s">
        <v>91</v>
      </c>
      <c r="L2290" s="2">
        <v>1209261</v>
      </c>
      <c r="M2290" s="2">
        <v>536028</v>
      </c>
      <c r="N2290" s="2">
        <v>0</v>
      </c>
      <c r="O2290" s="2">
        <v>96203</v>
      </c>
      <c r="P2290" t="s">
        <v>24</v>
      </c>
      <c r="Q2290" t="s">
        <v>24</v>
      </c>
    </row>
    <row r="2291" spans="1:17" x14ac:dyDescent="0.25">
      <c r="A2291" t="s">
        <v>4124</v>
      </c>
      <c r="B2291" t="s">
        <v>4125</v>
      </c>
      <c r="C2291" s="1">
        <v>41275</v>
      </c>
      <c r="D2291" s="1">
        <v>41639</v>
      </c>
      <c r="E2291" t="s">
        <v>1137</v>
      </c>
      <c r="G2291" t="s">
        <v>4126</v>
      </c>
      <c r="H2291" t="s">
        <v>47</v>
      </c>
      <c r="I2291" t="str">
        <f>"48138"</f>
        <v>48138</v>
      </c>
      <c r="J2291" t="s">
        <v>22</v>
      </c>
      <c r="K2291" t="s">
        <v>30</v>
      </c>
      <c r="L2291" s="2">
        <v>1208467</v>
      </c>
      <c r="M2291" s="2">
        <v>1179001</v>
      </c>
      <c r="N2291" s="2">
        <v>0</v>
      </c>
      <c r="O2291" s="2">
        <v>123291</v>
      </c>
      <c r="P2291" t="s">
        <v>24</v>
      </c>
      <c r="Q2291" t="s">
        <v>24</v>
      </c>
    </row>
    <row r="2292" spans="1:17" x14ac:dyDescent="0.25">
      <c r="A2292" t="s">
        <v>849</v>
      </c>
      <c r="B2292" t="s">
        <v>850</v>
      </c>
      <c r="C2292" s="1">
        <v>40909</v>
      </c>
      <c r="D2292" s="1">
        <v>41274</v>
      </c>
      <c r="E2292" t="s">
        <v>163</v>
      </c>
      <c r="G2292" t="s">
        <v>28</v>
      </c>
      <c r="H2292" t="s">
        <v>29</v>
      </c>
      <c r="I2292" t="str">
        <f>"60603"</f>
        <v>60603</v>
      </c>
      <c r="J2292" t="s">
        <v>22</v>
      </c>
      <c r="K2292" t="s">
        <v>30</v>
      </c>
      <c r="L2292" s="2">
        <v>1208163</v>
      </c>
      <c r="M2292" s="2">
        <v>351803</v>
      </c>
      <c r="N2292" s="2">
        <v>0</v>
      </c>
      <c r="O2292" s="2">
        <v>69506</v>
      </c>
      <c r="P2292" t="s">
        <v>24</v>
      </c>
      <c r="Q2292" t="s">
        <v>24</v>
      </c>
    </row>
    <row r="2293" spans="1:17" x14ac:dyDescent="0.25">
      <c r="A2293" t="s">
        <v>490</v>
      </c>
      <c r="B2293" t="s">
        <v>491</v>
      </c>
      <c r="C2293" s="1">
        <v>41275</v>
      </c>
      <c r="D2293" s="1">
        <v>41639</v>
      </c>
      <c r="E2293" t="s">
        <v>492</v>
      </c>
      <c r="G2293" t="s">
        <v>357</v>
      </c>
      <c r="H2293" t="s">
        <v>21</v>
      </c>
      <c r="I2293" t="str">
        <f>"46804"</f>
        <v>46804</v>
      </c>
      <c r="J2293" t="s">
        <v>22</v>
      </c>
      <c r="K2293" t="s">
        <v>23</v>
      </c>
      <c r="L2293" s="2">
        <v>1206763</v>
      </c>
      <c r="M2293" s="2">
        <v>116983</v>
      </c>
      <c r="N2293" s="2">
        <v>0</v>
      </c>
      <c r="O2293" s="2">
        <v>76384</v>
      </c>
      <c r="P2293" t="s">
        <v>24</v>
      </c>
      <c r="Q2293" t="s">
        <v>24</v>
      </c>
    </row>
    <row r="2294" spans="1:17" x14ac:dyDescent="0.25">
      <c r="A2294" t="s">
        <v>2572</v>
      </c>
      <c r="B2294" t="s">
        <v>2573</v>
      </c>
      <c r="C2294" s="1">
        <v>41275</v>
      </c>
      <c r="D2294" s="1">
        <v>41639</v>
      </c>
      <c r="E2294" t="s">
        <v>104</v>
      </c>
      <c r="G2294" t="s">
        <v>28</v>
      </c>
      <c r="H2294" t="s">
        <v>29</v>
      </c>
      <c r="I2294" t="str">
        <f>"60680"</f>
        <v>60680</v>
      </c>
      <c r="J2294" t="s">
        <v>22</v>
      </c>
      <c r="K2294" t="s">
        <v>23</v>
      </c>
      <c r="L2294" s="2">
        <v>1201134</v>
      </c>
      <c r="M2294" s="2">
        <v>193558</v>
      </c>
      <c r="N2294" s="2">
        <v>0</v>
      </c>
      <c r="O2294" s="2">
        <v>66473</v>
      </c>
      <c r="P2294" t="s">
        <v>24</v>
      </c>
      <c r="Q2294" t="s">
        <v>24</v>
      </c>
    </row>
    <row r="2295" spans="1:17" x14ac:dyDescent="0.25">
      <c r="A2295" t="s">
        <v>7483</v>
      </c>
      <c r="B2295" t="s">
        <v>7484</v>
      </c>
      <c r="C2295" s="1">
        <v>41275</v>
      </c>
      <c r="D2295" s="1">
        <v>41639</v>
      </c>
      <c r="E2295" t="s">
        <v>7485</v>
      </c>
      <c r="G2295" t="s">
        <v>7486</v>
      </c>
      <c r="H2295" t="s">
        <v>62</v>
      </c>
      <c r="I2295" t="str">
        <f>"44017"</f>
        <v>44017</v>
      </c>
      <c r="J2295" t="s">
        <v>63</v>
      </c>
      <c r="K2295" t="s">
        <v>79</v>
      </c>
      <c r="L2295" s="2">
        <v>1201049</v>
      </c>
      <c r="M2295" s="2">
        <v>1000402</v>
      </c>
      <c r="N2295" s="2">
        <v>9552</v>
      </c>
      <c r="O2295" s="2">
        <v>607419</v>
      </c>
      <c r="P2295" s="2">
        <v>83777</v>
      </c>
      <c r="Q2295" s="2">
        <v>3907</v>
      </c>
    </row>
    <row r="2296" spans="1:17" x14ac:dyDescent="0.25">
      <c r="A2296" t="s">
        <v>4817</v>
      </c>
      <c r="B2296" t="s">
        <v>4818</v>
      </c>
      <c r="C2296" s="1">
        <v>41275</v>
      </c>
      <c r="D2296" s="1">
        <v>41639</v>
      </c>
      <c r="E2296" t="s">
        <v>4819</v>
      </c>
      <c r="G2296" t="s">
        <v>2959</v>
      </c>
      <c r="H2296" t="s">
        <v>62</v>
      </c>
      <c r="I2296" t="str">
        <f>"44107"</f>
        <v>44107</v>
      </c>
      <c r="J2296" t="s">
        <v>22</v>
      </c>
      <c r="K2296" t="s">
        <v>30</v>
      </c>
      <c r="L2296" s="2">
        <v>1200050</v>
      </c>
      <c r="M2296" s="2">
        <v>189226</v>
      </c>
      <c r="N2296" s="2">
        <v>0</v>
      </c>
      <c r="O2296" s="2">
        <v>66573</v>
      </c>
      <c r="P2296" t="s">
        <v>24</v>
      </c>
      <c r="Q2296" t="s">
        <v>24</v>
      </c>
    </row>
    <row r="2297" spans="1:17" x14ac:dyDescent="0.25">
      <c r="A2297" t="s">
        <v>5541</v>
      </c>
      <c r="B2297" t="s">
        <v>5542</v>
      </c>
      <c r="C2297" s="1">
        <v>41456</v>
      </c>
      <c r="D2297" s="1">
        <v>41820</v>
      </c>
      <c r="E2297" t="s">
        <v>104</v>
      </c>
      <c r="G2297" t="s">
        <v>28</v>
      </c>
      <c r="H2297" t="s">
        <v>29</v>
      </c>
      <c r="I2297" t="str">
        <f>"60680"</f>
        <v>60680</v>
      </c>
      <c r="J2297" t="s">
        <v>63</v>
      </c>
      <c r="K2297" t="s">
        <v>30</v>
      </c>
      <c r="L2297" s="2">
        <v>1199691</v>
      </c>
      <c r="M2297" s="2">
        <v>98888</v>
      </c>
      <c r="N2297" s="2">
        <v>0</v>
      </c>
      <c r="O2297" s="2">
        <v>80841</v>
      </c>
      <c r="P2297" s="2">
        <v>15636</v>
      </c>
      <c r="Q2297" t="s">
        <v>24</v>
      </c>
    </row>
    <row r="2298" spans="1:17" x14ac:dyDescent="0.25">
      <c r="A2298" t="s">
        <v>4648</v>
      </c>
      <c r="B2298" t="s">
        <v>4649</v>
      </c>
      <c r="C2298" s="1">
        <v>41426</v>
      </c>
      <c r="D2298" s="1">
        <v>41790</v>
      </c>
      <c r="E2298" t="s">
        <v>4650</v>
      </c>
      <c r="G2298" t="s">
        <v>1042</v>
      </c>
      <c r="H2298" t="s">
        <v>47</v>
      </c>
      <c r="I2298" t="str">
        <f>"48301"</f>
        <v>48301</v>
      </c>
      <c r="J2298" t="s">
        <v>63</v>
      </c>
      <c r="K2298" t="s">
        <v>23</v>
      </c>
      <c r="L2298" s="2">
        <v>1199571</v>
      </c>
      <c r="M2298" s="2">
        <v>95909</v>
      </c>
      <c r="N2298" s="2">
        <v>0</v>
      </c>
      <c r="O2298" s="2">
        <v>19389</v>
      </c>
      <c r="P2298" s="2">
        <v>19389</v>
      </c>
      <c r="Q2298" s="2">
        <v>0</v>
      </c>
    </row>
    <row r="2299" spans="1:17" x14ac:dyDescent="0.25">
      <c r="A2299" t="s">
        <v>5366</v>
      </c>
      <c r="B2299" t="s">
        <v>5367</v>
      </c>
      <c r="C2299" s="1">
        <v>41275</v>
      </c>
      <c r="D2299" s="1">
        <v>41639</v>
      </c>
      <c r="E2299" t="s">
        <v>5368</v>
      </c>
      <c r="G2299" t="s">
        <v>2018</v>
      </c>
      <c r="H2299" t="s">
        <v>21</v>
      </c>
      <c r="I2299" t="str">
        <f>"46706"</f>
        <v>46706</v>
      </c>
      <c r="J2299" t="s">
        <v>22</v>
      </c>
      <c r="K2299" t="s">
        <v>30</v>
      </c>
      <c r="L2299" s="2">
        <v>1199469</v>
      </c>
      <c r="M2299" s="2">
        <v>3795915</v>
      </c>
      <c r="N2299" s="2">
        <v>0</v>
      </c>
      <c r="O2299" s="2">
        <v>3336940</v>
      </c>
      <c r="P2299" t="s">
        <v>24</v>
      </c>
      <c r="Q2299" t="s">
        <v>24</v>
      </c>
    </row>
    <row r="2300" spans="1:17" x14ac:dyDescent="0.25">
      <c r="A2300" t="s">
        <v>1000</v>
      </c>
      <c r="B2300" t="s">
        <v>1001</v>
      </c>
      <c r="C2300" s="1">
        <v>41275</v>
      </c>
      <c r="D2300" s="1">
        <v>41639</v>
      </c>
      <c r="E2300" t="s">
        <v>1002</v>
      </c>
      <c r="G2300" t="s">
        <v>139</v>
      </c>
      <c r="H2300" t="s">
        <v>47</v>
      </c>
      <c r="I2300" t="str">
        <f>"49505"</f>
        <v>49505</v>
      </c>
      <c r="J2300" t="s">
        <v>22</v>
      </c>
      <c r="K2300" t="s">
        <v>30</v>
      </c>
      <c r="L2300" s="2">
        <v>1192553</v>
      </c>
      <c r="M2300" s="2">
        <v>358542</v>
      </c>
      <c r="N2300" s="2">
        <v>0</v>
      </c>
      <c r="O2300" s="2">
        <v>3566</v>
      </c>
      <c r="P2300" t="s">
        <v>24</v>
      </c>
      <c r="Q2300" t="s">
        <v>24</v>
      </c>
    </row>
    <row r="2301" spans="1:17" x14ac:dyDescent="0.25">
      <c r="A2301" t="s">
        <v>1665</v>
      </c>
      <c r="B2301" t="s">
        <v>1666</v>
      </c>
      <c r="C2301" s="1">
        <v>41275</v>
      </c>
      <c r="D2301" s="1">
        <v>41639</v>
      </c>
      <c r="E2301" t="s">
        <v>104</v>
      </c>
      <c r="G2301" t="s">
        <v>28</v>
      </c>
      <c r="H2301" t="s">
        <v>29</v>
      </c>
      <c r="I2301" t="str">
        <f>"60680"</f>
        <v>60680</v>
      </c>
      <c r="J2301" t="s">
        <v>22</v>
      </c>
      <c r="K2301" t="s">
        <v>23</v>
      </c>
      <c r="L2301" s="2">
        <v>1191646</v>
      </c>
      <c r="M2301" s="2">
        <v>3611090</v>
      </c>
      <c r="N2301" s="2">
        <v>0</v>
      </c>
      <c r="O2301" s="2">
        <v>6065425</v>
      </c>
      <c r="P2301" t="s">
        <v>24</v>
      </c>
      <c r="Q2301" t="s">
        <v>24</v>
      </c>
    </row>
    <row r="2302" spans="1:17" x14ac:dyDescent="0.25">
      <c r="A2302" t="s">
        <v>4696</v>
      </c>
      <c r="B2302" t="s">
        <v>4697</v>
      </c>
      <c r="C2302" s="1">
        <v>41275</v>
      </c>
      <c r="D2302" s="1">
        <v>41639</v>
      </c>
      <c r="E2302" t="s">
        <v>4698</v>
      </c>
      <c r="G2302" t="s">
        <v>2420</v>
      </c>
      <c r="H2302" t="s">
        <v>21</v>
      </c>
      <c r="I2302" t="str">
        <f>"46077"</f>
        <v>46077</v>
      </c>
      <c r="J2302" t="s">
        <v>63</v>
      </c>
      <c r="K2302" t="s">
        <v>23</v>
      </c>
      <c r="L2302" s="2">
        <v>1191068</v>
      </c>
      <c r="M2302" s="2">
        <v>193299</v>
      </c>
      <c r="N2302" s="2">
        <v>31659</v>
      </c>
      <c r="O2302" s="2">
        <v>144809</v>
      </c>
      <c r="P2302" s="2">
        <v>5642</v>
      </c>
      <c r="Q2302" s="2">
        <v>17782</v>
      </c>
    </row>
    <row r="2303" spans="1:17" x14ac:dyDescent="0.25">
      <c r="A2303" t="s">
        <v>5613</v>
      </c>
      <c r="B2303" t="s">
        <v>5614</v>
      </c>
      <c r="C2303" s="1">
        <v>41275</v>
      </c>
      <c r="D2303" s="1">
        <v>41639</v>
      </c>
      <c r="E2303" t="s">
        <v>104</v>
      </c>
      <c r="G2303" t="s">
        <v>28</v>
      </c>
      <c r="H2303" t="s">
        <v>29</v>
      </c>
      <c r="I2303" t="str">
        <f>"60680"</f>
        <v>60680</v>
      </c>
      <c r="J2303" t="s">
        <v>22</v>
      </c>
      <c r="K2303" t="s">
        <v>23</v>
      </c>
      <c r="L2303" s="2">
        <v>1189071</v>
      </c>
      <c r="M2303" s="2">
        <v>739901</v>
      </c>
      <c r="N2303" s="2">
        <v>0</v>
      </c>
      <c r="O2303" s="2">
        <v>53230</v>
      </c>
      <c r="P2303" t="s">
        <v>24</v>
      </c>
      <c r="Q2303" t="s">
        <v>24</v>
      </c>
    </row>
    <row r="2304" spans="1:17" x14ac:dyDescent="0.25">
      <c r="A2304" t="s">
        <v>5949</v>
      </c>
      <c r="B2304" t="s">
        <v>5950</v>
      </c>
      <c r="C2304" s="1">
        <v>40909</v>
      </c>
      <c r="D2304" s="1">
        <v>41274</v>
      </c>
      <c r="E2304" t="s">
        <v>5951</v>
      </c>
      <c r="G2304" t="s">
        <v>28</v>
      </c>
      <c r="H2304" t="s">
        <v>29</v>
      </c>
      <c r="I2304" t="str">
        <f>"60611"</f>
        <v>60611</v>
      </c>
      <c r="J2304" t="s">
        <v>22</v>
      </c>
      <c r="K2304" t="s">
        <v>30</v>
      </c>
      <c r="L2304" s="2">
        <v>1189003</v>
      </c>
      <c r="M2304" s="2">
        <v>554116</v>
      </c>
      <c r="N2304" s="2">
        <v>0</v>
      </c>
      <c r="O2304" s="2">
        <v>73143</v>
      </c>
      <c r="P2304" t="s">
        <v>24</v>
      </c>
      <c r="Q2304" t="s">
        <v>24</v>
      </c>
    </row>
    <row r="2305" spans="1:17" x14ac:dyDescent="0.25">
      <c r="A2305" t="s">
        <v>7093</v>
      </c>
      <c r="B2305" t="s">
        <v>7094</v>
      </c>
      <c r="C2305" s="1">
        <v>41275</v>
      </c>
      <c r="D2305" s="1">
        <v>41639</v>
      </c>
      <c r="E2305" t="s">
        <v>7095</v>
      </c>
      <c r="G2305" t="s">
        <v>176</v>
      </c>
      <c r="H2305" t="s">
        <v>47</v>
      </c>
      <c r="I2305" t="str">
        <f>"48439"</f>
        <v>48439</v>
      </c>
      <c r="J2305" t="s">
        <v>22</v>
      </c>
      <c r="K2305" t="s">
        <v>30</v>
      </c>
      <c r="L2305" s="2">
        <v>1188835</v>
      </c>
      <c r="M2305" s="2">
        <v>1470993</v>
      </c>
      <c r="N2305" s="2">
        <v>0</v>
      </c>
      <c r="O2305" s="2">
        <v>60025</v>
      </c>
      <c r="P2305" t="s">
        <v>24</v>
      </c>
      <c r="Q2305" t="s">
        <v>24</v>
      </c>
    </row>
    <row r="2306" spans="1:17" x14ac:dyDescent="0.25">
      <c r="A2306" t="s">
        <v>5534</v>
      </c>
      <c r="B2306" t="s">
        <v>5535</v>
      </c>
      <c r="C2306" s="1">
        <v>41334</v>
      </c>
      <c r="D2306" s="1">
        <v>41698</v>
      </c>
      <c r="E2306" t="s">
        <v>1342</v>
      </c>
      <c r="G2306" t="s">
        <v>77</v>
      </c>
      <c r="H2306" t="s">
        <v>78</v>
      </c>
      <c r="I2306" t="str">
        <f>"40232"</f>
        <v>40232</v>
      </c>
      <c r="J2306" t="s">
        <v>22</v>
      </c>
      <c r="K2306" t="s">
        <v>23</v>
      </c>
      <c r="L2306" s="2">
        <v>1188540</v>
      </c>
      <c r="M2306" s="2">
        <v>158252</v>
      </c>
      <c r="N2306" s="2">
        <v>0</v>
      </c>
      <c r="O2306" s="2">
        <v>50808</v>
      </c>
      <c r="P2306" t="s">
        <v>24</v>
      </c>
      <c r="Q2306" t="s">
        <v>24</v>
      </c>
    </row>
    <row r="2307" spans="1:17" x14ac:dyDescent="0.25">
      <c r="A2307" t="s">
        <v>2518</v>
      </c>
      <c r="B2307" t="s">
        <v>2519</v>
      </c>
      <c r="C2307" s="1">
        <v>41275</v>
      </c>
      <c r="D2307" s="1">
        <v>41639</v>
      </c>
      <c r="E2307" t="s">
        <v>2520</v>
      </c>
      <c r="G2307" t="s">
        <v>999</v>
      </c>
      <c r="H2307" t="s">
        <v>47</v>
      </c>
      <c r="I2307" t="str">
        <f>"48706"</f>
        <v>48706</v>
      </c>
      <c r="J2307" t="s">
        <v>22</v>
      </c>
      <c r="K2307" t="s">
        <v>23</v>
      </c>
      <c r="L2307" s="2">
        <v>1188280</v>
      </c>
      <c r="M2307" s="2">
        <v>431727</v>
      </c>
      <c r="N2307" s="2">
        <v>0</v>
      </c>
      <c r="O2307" s="2">
        <v>375100</v>
      </c>
      <c r="P2307" t="s">
        <v>24</v>
      </c>
      <c r="Q2307" t="s">
        <v>24</v>
      </c>
    </row>
    <row r="2308" spans="1:17" x14ac:dyDescent="0.25">
      <c r="A2308" t="s">
        <v>870</v>
      </c>
      <c r="B2308" t="s">
        <v>871</v>
      </c>
      <c r="C2308" s="1">
        <v>41275</v>
      </c>
      <c r="D2308" s="1">
        <v>41639</v>
      </c>
      <c r="E2308" t="s">
        <v>872</v>
      </c>
      <c r="G2308" t="s">
        <v>873</v>
      </c>
      <c r="H2308" t="s">
        <v>29</v>
      </c>
      <c r="I2308" t="str">
        <f>"60525"</f>
        <v>60525</v>
      </c>
      <c r="J2308" t="s">
        <v>22</v>
      </c>
      <c r="K2308" t="s">
        <v>30</v>
      </c>
      <c r="L2308" s="2">
        <v>1186085</v>
      </c>
      <c r="M2308" s="2">
        <v>871168</v>
      </c>
      <c r="N2308" s="2">
        <v>0</v>
      </c>
      <c r="O2308" s="2">
        <v>251726</v>
      </c>
      <c r="P2308" t="s">
        <v>24</v>
      </c>
      <c r="Q2308" t="s">
        <v>24</v>
      </c>
    </row>
    <row r="2309" spans="1:17" x14ac:dyDescent="0.25">
      <c r="A2309" t="s">
        <v>3800</v>
      </c>
      <c r="B2309" t="s">
        <v>3801</v>
      </c>
      <c r="C2309" s="1">
        <v>41275</v>
      </c>
      <c r="D2309" s="1">
        <v>41639</v>
      </c>
      <c r="E2309" t="s">
        <v>556</v>
      </c>
      <c r="G2309" t="s">
        <v>167</v>
      </c>
      <c r="H2309" t="s">
        <v>62</v>
      </c>
      <c r="I2309" t="str">
        <f>"45201"</f>
        <v>45201</v>
      </c>
      <c r="J2309" t="s">
        <v>22</v>
      </c>
      <c r="K2309" t="s">
        <v>91</v>
      </c>
      <c r="L2309" s="2">
        <v>1185298</v>
      </c>
      <c r="M2309" s="2">
        <v>70907</v>
      </c>
      <c r="N2309" s="2">
        <v>0</v>
      </c>
      <c r="O2309" s="2">
        <v>54679</v>
      </c>
      <c r="P2309" t="s">
        <v>24</v>
      </c>
      <c r="Q2309" t="s">
        <v>24</v>
      </c>
    </row>
    <row r="2310" spans="1:17" x14ac:dyDescent="0.25">
      <c r="A2310" t="s">
        <v>3649</v>
      </c>
      <c r="B2310" t="s">
        <v>3650</v>
      </c>
      <c r="C2310" s="1">
        <v>41275</v>
      </c>
      <c r="D2310" s="1">
        <v>41639</v>
      </c>
      <c r="E2310" t="s">
        <v>3651</v>
      </c>
      <c r="G2310" t="s">
        <v>28</v>
      </c>
      <c r="H2310" t="s">
        <v>29</v>
      </c>
      <c r="I2310" t="str">
        <f>"60606"</f>
        <v>60606</v>
      </c>
      <c r="J2310" t="s">
        <v>22</v>
      </c>
      <c r="K2310" t="s">
        <v>30</v>
      </c>
      <c r="L2310" s="2">
        <v>1183951</v>
      </c>
      <c r="M2310" s="2">
        <v>43548</v>
      </c>
      <c r="N2310" s="2">
        <v>0</v>
      </c>
      <c r="O2310" s="2">
        <v>47611</v>
      </c>
      <c r="P2310" t="s">
        <v>24</v>
      </c>
      <c r="Q2310" t="s">
        <v>24</v>
      </c>
    </row>
    <row r="2311" spans="1:17" x14ac:dyDescent="0.25">
      <c r="A2311" t="s">
        <v>1772</v>
      </c>
      <c r="B2311" t="s">
        <v>1773</v>
      </c>
      <c r="C2311" s="1">
        <v>41275</v>
      </c>
      <c r="D2311" s="1">
        <v>41639</v>
      </c>
      <c r="E2311" t="s">
        <v>1774</v>
      </c>
      <c r="G2311" t="s">
        <v>28</v>
      </c>
      <c r="H2311" t="s">
        <v>29</v>
      </c>
      <c r="I2311" t="str">
        <f>"60606"</f>
        <v>60606</v>
      </c>
      <c r="J2311" t="s">
        <v>22</v>
      </c>
      <c r="K2311" t="s">
        <v>23</v>
      </c>
      <c r="L2311" s="2">
        <v>1182565</v>
      </c>
      <c r="M2311" s="2">
        <v>441912</v>
      </c>
      <c r="N2311" s="2">
        <v>0</v>
      </c>
      <c r="O2311" s="2">
        <v>25191</v>
      </c>
      <c r="P2311" t="s">
        <v>24</v>
      </c>
      <c r="Q2311" t="s">
        <v>24</v>
      </c>
    </row>
    <row r="2312" spans="1:17" x14ac:dyDescent="0.25">
      <c r="A2312" t="s">
        <v>5699</v>
      </c>
      <c r="B2312" t="s">
        <v>5700</v>
      </c>
      <c r="C2312" s="1">
        <v>41275</v>
      </c>
      <c r="D2312" s="1">
        <v>41639</v>
      </c>
      <c r="E2312" t="s">
        <v>5701</v>
      </c>
      <c r="G2312" t="s">
        <v>5702</v>
      </c>
      <c r="H2312" t="s">
        <v>42</v>
      </c>
      <c r="I2312" t="str">
        <f>"54952"</f>
        <v>54952</v>
      </c>
      <c r="J2312" t="s">
        <v>22</v>
      </c>
      <c r="K2312" t="s">
        <v>30</v>
      </c>
      <c r="L2312" s="2">
        <v>1181316</v>
      </c>
      <c r="M2312" s="2">
        <v>1280402</v>
      </c>
      <c r="N2312" s="2">
        <v>0</v>
      </c>
      <c r="O2312" s="2">
        <v>119415</v>
      </c>
      <c r="P2312" t="s">
        <v>24</v>
      </c>
      <c r="Q2312" t="s">
        <v>24</v>
      </c>
    </row>
    <row r="2313" spans="1:17" x14ac:dyDescent="0.25">
      <c r="A2313" t="s">
        <v>144</v>
      </c>
      <c r="B2313" t="s">
        <v>145</v>
      </c>
      <c r="C2313" s="1">
        <v>41548</v>
      </c>
      <c r="D2313" s="1">
        <v>41912</v>
      </c>
      <c r="E2313" t="s">
        <v>146</v>
      </c>
      <c r="G2313" t="s">
        <v>147</v>
      </c>
      <c r="H2313" t="s">
        <v>62</v>
      </c>
      <c r="I2313" t="str">
        <f>"44308"</f>
        <v>44308</v>
      </c>
      <c r="J2313" t="s">
        <v>22</v>
      </c>
      <c r="K2313" t="s">
        <v>23</v>
      </c>
      <c r="L2313" s="2">
        <v>1181296</v>
      </c>
      <c r="M2313" s="2">
        <v>147311</v>
      </c>
      <c r="N2313" s="2">
        <v>0</v>
      </c>
      <c r="O2313" s="2">
        <v>76082</v>
      </c>
      <c r="P2313" t="s">
        <v>24</v>
      </c>
      <c r="Q2313" t="s">
        <v>24</v>
      </c>
    </row>
    <row r="2314" spans="1:17" x14ac:dyDescent="0.25">
      <c r="A2314" t="s">
        <v>5849</v>
      </c>
      <c r="B2314" t="s">
        <v>5850</v>
      </c>
      <c r="C2314" s="1">
        <v>41275</v>
      </c>
      <c r="D2314" s="1">
        <v>41639</v>
      </c>
      <c r="E2314" t="s">
        <v>5851</v>
      </c>
      <c r="G2314" t="s">
        <v>5852</v>
      </c>
      <c r="H2314" t="s">
        <v>62</v>
      </c>
      <c r="I2314" t="str">
        <f>"44023"</f>
        <v>44023</v>
      </c>
      <c r="J2314" t="s">
        <v>22</v>
      </c>
      <c r="K2314" t="s">
        <v>23</v>
      </c>
      <c r="L2314" s="2">
        <v>1179651</v>
      </c>
      <c r="M2314" s="2">
        <v>177735</v>
      </c>
      <c r="N2314" s="2">
        <v>0</v>
      </c>
      <c r="O2314" s="2">
        <v>107341</v>
      </c>
      <c r="P2314" t="s">
        <v>24</v>
      </c>
      <c r="Q2314" t="s">
        <v>24</v>
      </c>
    </row>
    <row r="2315" spans="1:17" x14ac:dyDescent="0.25">
      <c r="A2315" t="s">
        <v>4146</v>
      </c>
      <c r="B2315" t="s">
        <v>4147</v>
      </c>
      <c r="C2315" s="1">
        <v>41275</v>
      </c>
      <c r="D2315" s="1">
        <v>41639</v>
      </c>
      <c r="E2315" t="s">
        <v>4148</v>
      </c>
      <c r="G2315" t="s">
        <v>139</v>
      </c>
      <c r="H2315" t="s">
        <v>47</v>
      </c>
      <c r="I2315" t="str">
        <f>"49503"</f>
        <v>49503</v>
      </c>
      <c r="J2315" t="s">
        <v>22</v>
      </c>
      <c r="K2315" t="s">
        <v>23</v>
      </c>
      <c r="L2315" s="2">
        <v>1178605</v>
      </c>
      <c r="M2315" s="2">
        <v>527741</v>
      </c>
      <c r="N2315" s="2">
        <v>0</v>
      </c>
      <c r="O2315" s="2">
        <v>75126</v>
      </c>
      <c r="P2315" t="s">
        <v>24</v>
      </c>
      <c r="Q2315" t="s">
        <v>24</v>
      </c>
    </row>
    <row r="2316" spans="1:17" x14ac:dyDescent="0.25">
      <c r="A2316" t="s">
        <v>4347</v>
      </c>
      <c r="B2316" t="s">
        <v>4348</v>
      </c>
      <c r="C2316" s="1">
        <v>40909</v>
      </c>
      <c r="D2316" s="1">
        <v>41274</v>
      </c>
      <c r="E2316" t="s">
        <v>4349</v>
      </c>
      <c r="G2316" t="s">
        <v>4350</v>
      </c>
      <c r="H2316" t="s">
        <v>47</v>
      </c>
      <c r="I2316" t="str">
        <f>"49441"</f>
        <v>49441</v>
      </c>
      <c r="J2316" t="s">
        <v>22</v>
      </c>
      <c r="K2316" t="s">
        <v>91</v>
      </c>
      <c r="L2316" s="2">
        <v>1178469</v>
      </c>
      <c r="M2316" s="2">
        <v>263226</v>
      </c>
      <c r="N2316" s="2">
        <v>0</v>
      </c>
      <c r="O2316" s="2">
        <v>72816</v>
      </c>
      <c r="P2316" t="s">
        <v>24</v>
      </c>
      <c r="Q2316" t="s">
        <v>24</v>
      </c>
    </row>
    <row r="2317" spans="1:17" x14ac:dyDescent="0.25">
      <c r="A2317" t="s">
        <v>154</v>
      </c>
      <c r="B2317" t="s">
        <v>155</v>
      </c>
      <c r="C2317" s="1">
        <v>41548</v>
      </c>
      <c r="D2317" s="1">
        <v>41912</v>
      </c>
      <c r="E2317" t="s">
        <v>40</v>
      </c>
      <c r="G2317" t="s">
        <v>41</v>
      </c>
      <c r="H2317" t="s">
        <v>42</v>
      </c>
      <c r="I2317" t="str">
        <f>"53201"</f>
        <v>53201</v>
      </c>
      <c r="J2317" t="s">
        <v>22</v>
      </c>
      <c r="K2317" t="s">
        <v>30</v>
      </c>
      <c r="L2317" s="2">
        <v>1178225</v>
      </c>
      <c r="M2317" s="2">
        <v>190465</v>
      </c>
      <c r="N2317" s="2">
        <v>0</v>
      </c>
      <c r="O2317" s="2">
        <v>60309</v>
      </c>
      <c r="P2317" t="s">
        <v>24</v>
      </c>
      <c r="Q2317" t="s">
        <v>24</v>
      </c>
    </row>
    <row r="2318" spans="1:17" x14ac:dyDescent="0.25">
      <c r="A2318" t="s">
        <v>3127</v>
      </c>
      <c r="B2318" t="s">
        <v>3128</v>
      </c>
      <c r="C2318" s="1">
        <v>41275</v>
      </c>
      <c r="D2318" s="1">
        <v>41639</v>
      </c>
      <c r="E2318" t="s">
        <v>104</v>
      </c>
      <c r="G2318" t="s">
        <v>28</v>
      </c>
      <c r="H2318" t="s">
        <v>29</v>
      </c>
      <c r="I2318" t="str">
        <f>"60680"</f>
        <v>60680</v>
      </c>
      <c r="J2318" t="s">
        <v>22</v>
      </c>
      <c r="K2318" t="s">
        <v>30</v>
      </c>
      <c r="L2318" s="2">
        <v>1176355</v>
      </c>
      <c r="M2318" s="2">
        <v>2091491</v>
      </c>
      <c r="N2318" s="2">
        <v>0</v>
      </c>
      <c r="O2318" s="2">
        <v>1884745</v>
      </c>
      <c r="P2318" t="s">
        <v>24</v>
      </c>
      <c r="Q2318" t="s">
        <v>24</v>
      </c>
    </row>
    <row r="2319" spans="1:17" x14ac:dyDescent="0.25">
      <c r="A2319" t="s">
        <v>4927</v>
      </c>
      <c r="B2319" t="s">
        <v>4928</v>
      </c>
      <c r="C2319" s="1">
        <v>41306</v>
      </c>
      <c r="D2319" s="1">
        <v>41670</v>
      </c>
      <c r="E2319" t="s">
        <v>4929</v>
      </c>
      <c r="G2319" t="s">
        <v>28</v>
      </c>
      <c r="H2319" t="s">
        <v>29</v>
      </c>
      <c r="I2319" t="str">
        <f>"60611"</f>
        <v>60611</v>
      </c>
      <c r="J2319" t="s">
        <v>22</v>
      </c>
      <c r="K2319" t="s">
        <v>79</v>
      </c>
      <c r="L2319" s="2">
        <v>1175680</v>
      </c>
      <c r="M2319" s="2">
        <v>156601</v>
      </c>
      <c r="N2319" s="2">
        <v>0</v>
      </c>
      <c r="O2319" s="2">
        <v>75366</v>
      </c>
      <c r="P2319" t="s">
        <v>24</v>
      </c>
      <c r="Q2319" t="s">
        <v>24</v>
      </c>
    </row>
    <row r="2320" spans="1:17" x14ac:dyDescent="0.25">
      <c r="A2320" t="s">
        <v>3359</v>
      </c>
      <c r="B2320" t="s">
        <v>3360</v>
      </c>
      <c r="C2320" s="1">
        <v>40909</v>
      </c>
      <c r="D2320" s="1">
        <v>41274</v>
      </c>
      <c r="E2320" t="s">
        <v>3361</v>
      </c>
      <c r="G2320" t="s">
        <v>815</v>
      </c>
      <c r="H2320" t="s">
        <v>21</v>
      </c>
      <c r="I2320" t="str">
        <f>"46410"</f>
        <v>46410</v>
      </c>
      <c r="J2320" t="s">
        <v>22</v>
      </c>
      <c r="K2320" t="s">
        <v>23</v>
      </c>
      <c r="L2320" s="2">
        <v>1175585</v>
      </c>
      <c r="M2320" s="2">
        <v>338247</v>
      </c>
      <c r="N2320" s="2">
        <v>0</v>
      </c>
      <c r="O2320" s="2">
        <v>75047</v>
      </c>
      <c r="P2320" t="s">
        <v>24</v>
      </c>
      <c r="Q2320" t="s">
        <v>24</v>
      </c>
    </row>
    <row r="2321" spans="1:17" x14ac:dyDescent="0.25">
      <c r="A2321" t="s">
        <v>7737</v>
      </c>
      <c r="B2321" t="s">
        <v>7738</v>
      </c>
      <c r="C2321" s="1">
        <v>41275</v>
      </c>
      <c r="D2321" s="1">
        <v>41639</v>
      </c>
      <c r="E2321" t="s">
        <v>7739</v>
      </c>
      <c r="G2321" t="s">
        <v>7740</v>
      </c>
      <c r="H2321" t="s">
        <v>21</v>
      </c>
      <c r="I2321" t="str">
        <f>"46711"</f>
        <v>46711</v>
      </c>
      <c r="J2321" t="s">
        <v>22</v>
      </c>
      <c r="K2321" t="s">
        <v>30</v>
      </c>
      <c r="L2321" s="2">
        <v>1174729</v>
      </c>
      <c r="M2321" s="2">
        <v>1064812</v>
      </c>
      <c r="N2321" s="2">
        <v>0</v>
      </c>
      <c r="O2321" s="2">
        <v>63007</v>
      </c>
      <c r="P2321" t="s">
        <v>24</v>
      </c>
      <c r="Q2321" t="s">
        <v>24</v>
      </c>
    </row>
    <row r="2322" spans="1:17" x14ac:dyDescent="0.25">
      <c r="A2322" t="s">
        <v>3545</v>
      </c>
      <c r="B2322" t="s">
        <v>3546</v>
      </c>
      <c r="C2322" s="1">
        <v>41275</v>
      </c>
      <c r="D2322" s="1">
        <v>41639</v>
      </c>
      <c r="E2322" t="s">
        <v>3547</v>
      </c>
      <c r="G2322" t="s">
        <v>843</v>
      </c>
      <c r="H2322" t="s">
        <v>29</v>
      </c>
      <c r="I2322" t="str">
        <f>"61104"</f>
        <v>61104</v>
      </c>
      <c r="J2322" t="s">
        <v>22</v>
      </c>
      <c r="K2322" t="s">
        <v>30</v>
      </c>
      <c r="L2322" s="2">
        <v>1174329</v>
      </c>
      <c r="M2322" s="2">
        <v>56283</v>
      </c>
      <c r="N2322" s="2">
        <v>0</v>
      </c>
      <c r="O2322" s="2">
        <v>62696</v>
      </c>
      <c r="P2322" t="s">
        <v>24</v>
      </c>
      <c r="Q2322" t="s">
        <v>24</v>
      </c>
    </row>
    <row r="2323" spans="1:17" x14ac:dyDescent="0.25">
      <c r="A2323" t="s">
        <v>1310</v>
      </c>
      <c r="B2323" t="s">
        <v>1311</v>
      </c>
      <c r="C2323" s="1">
        <v>40909</v>
      </c>
      <c r="D2323" s="1">
        <v>41274</v>
      </c>
      <c r="E2323" t="s">
        <v>1312</v>
      </c>
      <c r="G2323" t="s">
        <v>1021</v>
      </c>
      <c r="H2323" t="s">
        <v>47</v>
      </c>
      <c r="I2323" t="str">
        <f>"48236"</f>
        <v>48236</v>
      </c>
      <c r="J2323" t="s">
        <v>22</v>
      </c>
      <c r="K2323" t="s">
        <v>23</v>
      </c>
      <c r="L2323" s="2">
        <v>1173553</v>
      </c>
      <c r="M2323" s="2">
        <v>35580</v>
      </c>
      <c r="N2323" s="2">
        <v>0</v>
      </c>
      <c r="O2323" s="2">
        <v>89039</v>
      </c>
      <c r="P2323" t="s">
        <v>24</v>
      </c>
      <c r="Q2323" t="s">
        <v>24</v>
      </c>
    </row>
    <row r="2324" spans="1:17" x14ac:dyDescent="0.25">
      <c r="A2324" t="s">
        <v>620</v>
      </c>
      <c r="B2324" t="s">
        <v>621</v>
      </c>
      <c r="C2324" s="1">
        <v>41275</v>
      </c>
      <c r="D2324" s="1">
        <v>41639</v>
      </c>
      <c r="E2324" t="s">
        <v>40</v>
      </c>
      <c r="G2324" t="s">
        <v>41</v>
      </c>
      <c r="H2324" t="s">
        <v>42</v>
      </c>
      <c r="I2324" t="str">
        <f>"53201"</f>
        <v>53201</v>
      </c>
      <c r="J2324" t="s">
        <v>22</v>
      </c>
      <c r="K2324" t="s">
        <v>23</v>
      </c>
      <c r="L2324" s="2">
        <v>1172709</v>
      </c>
      <c r="M2324" s="2">
        <v>235759</v>
      </c>
      <c r="N2324" s="2">
        <v>692</v>
      </c>
      <c r="O2324" s="2">
        <v>72046</v>
      </c>
      <c r="P2324" t="s">
        <v>24</v>
      </c>
      <c r="Q2324" t="s">
        <v>24</v>
      </c>
    </row>
    <row r="2325" spans="1:17" x14ac:dyDescent="0.25">
      <c r="A2325" t="s">
        <v>4219</v>
      </c>
      <c r="B2325" t="s">
        <v>4220</v>
      </c>
      <c r="C2325" s="1">
        <v>41275</v>
      </c>
      <c r="D2325" s="1">
        <v>41639</v>
      </c>
      <c r="E2325" t="s">
        <v>53</v>
      </c>
      <c r="G2325" t="s">
        <v>28</v>
      </c>
      <c r="H2325" t="s">
        <v>29</v>
      </c>
      <c r="I2325" t="str">
        <f>"60603"</f>
        <v>60603</v>
      </c>
      <c r="J2325" t="s">
        <v>22</v>
      </c>
      <c r="K2325" t="s">
        <v>23</v>
      </c>
      <c r="L2325" s="2">
        <v>1172362</v>
      </c>
      <c r="M2325" s="2">
        <v>953306</v>
      </c>
      <c r="N2325" s="2">
        <v>0</v>
      </c>
      <c r="O2325" s="2">
        <v>64865</v>
      </c>
      <c r="P2325" t="s">
        <v>24</v>
      </c>
      <c r="Q2325" t="s">
        <v>24</v>
      </c>
    </row>
    <row r="2326" spans="1:17" x14ac:dyDescent="0.25">
      <c r="A2326" t="s">
        <v>3518</v>
      </c>
      <c r="B2326" t="s">
        <v>3519</v>
      </c>
      <c r="C2326" s="1">
        <v>41275</v>
      </c>
      <c r="D2326" s="1">
        <v>41639</v>
      </c>
      <c r="E2326" t="s">
        <v>3520</v>
      </c>
      <c r="G2326" t="s">
        <v>57</v>
      </c>
      <c r="H2326" t="s">
        <v>29</v>
      </c>
      <c r="I2326" t="str">
        <f>"60523"</f>
        <v>60523</v>
      </c>
      <c r="J2326" t="s">
        <v>22</v>
      </c>
      <c r="K2326" t="s">
        <v>30</v>
      </c>
      <c r="L2326" s="2">
        <v>1171845</v>
      </c>
      <c r="M2326" s="2">
        <v>144808</v>
      </c>
      <c r="N2326" s="2">
        <v>0</v>
      </c>
      <c r="O2326" s="2">
        <v>91541</v>
      </c>
      <c r="P2326" t="s">
        <v>24</v>
      </c>
      <c r="Q2326" t="s">
        <v>24</v>
      </c>
    </row>
    <row r="2327" spans="1:17" x14ac:dyDescent="0.25">
      <c r="A2327" t="s">
        <v>1431</v>
      </c>
      <c r="B2327" t="s">
        <v>1432</v>
      </c>
      <c r="C2327" s="1">
        <v>41275</v>
      </c>
      <c r="D2327" s="1">
        <v>41639</v>
      </c>
      <c r="E2327" t="s">
        <v>1433</v>
      </c>
      <c r="G2327" t="s">
        <v>20</v>
      </c>
      <c r="H2327" t="s">
        <v>21</v>
      </c>
      <c r="I2327" t="str">
        <f>"46260"</f>
        <v>46260</v>
      </c>
      <c r="J2327" t="s">
        <v>22</v>
      </c>
      <c r="K2327" t="s">
        <v>30</v>
      </c>
      <c r="L2327" s="2">
        <v>1171537</v>
      </c>
      <c r="M2327" s="2">
        <v>247965</v>
      </c>
      <c r="N2327" s="2">
        <v>0</v>
      </c>
      <c r="O2327" s="2">
        <v>109162</v>
      </c>
      <c r="P2327" t="s">
        <v>24</v>
      </c>
      <c r="Q2327" t="s">
        <v>24</v>
      </c>
    </row>
    <row r="2328" spans="1:17" x14ac:dyDescent="0.25">
      <c r="A2328" t="s">
        <v>7734</v>
      </c>
      <c r="B2328" t="s">
        <v>7735</v>
      </c>
      <c r="C2328" s="1">
        <v>41275</v>
      </c>
      <c r="D2328" s="1">
        <v>41639</v>
      </c>
      <c r="E2328" t="s">
        <v>7736</v>
      </c>
      <c r="G2328" t="s">
        <v>517</v>
      </c>
      <c r="H2328" t="s">
        <v>62</v>
      </c>
      <c r="I2328" t="str">
        <f>"45475"</f>
        <v>45475</v>
      </c>
      <c r="J2328" t="s">
        <v>22</v>
      </c>
      <c r="K2328" t="s">
        <v>23</v>
      </c>
      <c r="L2328" s="2">
        <v>1170781</v>
      </c>
      <c r="M2328" s="2">
        <v>1233520</v>
      </c>
      <c r="N2328" s="2">
        <v>0</v>
      </c>
      <c r="O2328" s="2">
        <v>72135</v>
      </c>
      <c r="P2328" t="s">
        <v>24</v>
      </c>
      <c r="Q2328" t="s">
        <v>24</v>
      </c>
    </row>
    <row r="2329" spans="1:17" x14ac:dyDescent="0.25">
      <c r="A2329" t="s">
        <v>2669</v>
      </c>
      <c r="B2329" t="s">
        <v>2670</v>
      </c>
      <c r="C2329" s="1">
        <v>41275</v>
      </c>
      <c r="D2329" s="1">
        <v>41639</v>
      </c>
      <c r="E2329" t="s">
        <v>2671</v>
      </c>
      <c r="G2329" t="s">
        <v>28</v>
      </c>
      <c r="H2329" t="s">
        <v>29</v>
      </c>
      <c r="I2329" t="str">
        <f>"60603"</f>
        <v>60603</v>
      </c>
      <c r="J2329" t="s">
        <v>22</v>
      </c>
      <c r="K2329" t="s">
        <v>23</v>
      </c>
      <c r="L2329" s="2">
        <v>1170756</v>
      </c>
      <c r="M2329" s="2">
        <v>44403</v>
      </c>
      <c r="N2329" s="2">
        <v>0</v>
      </c>
      <c r="O2329" s="2">
        <v>230917</v>
      </c>
      <c r="P2329" t="s">
        <v>24</v>
      </c>
      <c r="Q2329" t="s">
        <v>24</v>
      </c>
    </row>
    <row r="2330" spans="1:17" x14ac:dyDescent="0.25">
      <c r="A2330" t="s">
        <v>1155</v>
      </c>
      <c r="B2330" t="s">
        <v>1156</v>
      </c>
      <c r="C2330" s="1">
        <v>41122</v>
      </c>
      <c r="D2330" s="1">
        <v>41486</v>
      </c>
      <c r="E2330" t="s">
        <v>53</v>
      </c>
      <c r="G2330" t="s">
        <v>28</v>
      </c>
      <c r="H2330" t="s">
        <v>29</v>
      </c>
      <c r="I2330" t="str">
        <f>"60603"</f>
        <v>60603</v>
      </c>
      <c r="J2330" t="s">
        <v>22</v>
      </c>
      <c r="K2330" t="s">
        <v>23</v>
      </c>
      <c r="L2330" s="2">
        <v>1170065</v>
      </c>
      <c r="M2330" s="2">
        <v>1333985</v>
      </c>
      <c r="N2330" s="2">
        <v>0</v>
      </c>
      <c r="O2330" s="2">
        <v>68305</v>
      </c>
      <c r="P2330" t="s">
        <v>24</v>
      </c>
      <c r="Q2330" t="s">
        <v>24</v>
      </c>
    </row>
    <row r="2331" spans="1:17" x14ac:dyDescent="0.25">
      <c r="A2331" t="s">
        <v>1128</v>
      </c>
      <c r="B2331" t="s">
        <v>1129</v>
      </c>
      <c r="C2331" s="1">
        <v>41183</v>
      </c>
      <c r="D2331" s="1">
        <v>41547</v>
      </c>
      <c r="E2331" t="s">
        <v>1130</v>
      </c>
      <c r="G2331" t="s">
        <v>1028</v>
      </c>
      <c r="H2331" t="s">
        <v>47</v>
      </c>
      <c r="I2331" t="str">
        <f>"48104"</f>
        <v>48104</v>
      </c>
      <c r="J2331" t="s">
        <v>22</v>
      </c>
      <c r="K2331" t="s">
        <v>30</v>
      </c>
      <c r="L2331" s="2">
        <v>1169497</v>
      </c>
      <c r="M2331" s="2">
        <v>67851</v>
      </c>
      <c r="N2331" s="2">
        <v>0</v>
      </c>
      <c r="O2331" s="2">
        <v>59993</v>
      </c>
      <c r="P2331" t="s">
        <v>24</v>
      </c>
      <c r="Q2331" t="s">
        <v>24</v>
      </c>
    </row>
    <row r="2332" spans="1:17" x14ac:dyDescent="0.25">
      <c r="A2332" t="s">
        <v>5917</v>
      </c>
      <c r="B2332" t="s">
        <v>5918</v>
      </c>
      <c r="C2332" s="1">
        <v>41275</v>
      </c>
      <c r="D2332" s="1">
        <v>41639</v>
      </c>
      <c r="E2332" t="s">
        <v>5919</v>
      </c>
      <c r="G2332" t="s">
        <v>612</v>
      </c>
      <c r="H2332" t="s">
        <v>42</v>
      </c>
      <c r="I2332" t="str">
        <f>"53092"</f>
        <v>53092</v>
      </c>
      <c r="J2332" t="s">
        <v>22</v>
      </c>
      <c r="K2332" t="s">
        <v>30</v>
      </c>
      <c r="L2332" s="2">
        <v>1168510</v>
      </c>
      <c r="M2332" s="2">
        <v>1165763</v>
      </c>
      <c r="N2332" s="2">
        <v>0</v>
      </c>
      <c r="O2332" s="2">
        <v>57315</v>
      </c>
      <c r="P2332" t="s">
        <v>24</v>
      </c>
      <c r="Q2332" t="s">
        <v>24</v>
      </c>
    </row>
    <row r="2333" spans="1:17" x14ac:dyDescent="0.25">
      <c r="A2333" t="s">
        <v>4572</v>
      </c>
      <c r="B2333" t="s">
        <v>4573</v>
      </c>
      <c r="C2333" s="1">
        <v>41275</v>
      </c>
      <c r="D2333" s="1">
        <v>41639</v>
      </c>
      <c r="E2333" t="s">
        <v>4574</v>
      </c>
      <c r="G2333" t="s">
        <v>517</v>
      </c>
      <c r="H2333" t="s">
        <v>62</v>
      </c>
      <c r="I2333" t="str">
        <f>"45459"</f>
        <v>45459</v>
      </c>
      <c r="J2333" t="s">
        <v>752</v>
      </c>
      <c r="K2333" t="s">
        <v>753</v>
      </c>
      <c r="L2333" s="2">
        <v>1165782</v>
      </c>
      <c r="M2333" s="2">
        <v>771680</v>
      </c>
      <c r="N2333" s="2">
        <v>597756</v>
      </c>
      <c r="O2333" s="2">
        <v>763827</v>
      </c>
      <c r="P2333" t="s">
        <v>24</v>
      </c>
      <c r="Q2333" t="s">
        <v>24</v>
      </c>
    </row>
    <row r="2334" spans="1:17" x14ac:dyDescent="0.25">
      <c r="A2334" t="s">
        <v>1896</v>
      </c>
      <c r="B2334" t="s">
        <v>1897</v>
      </c>
      <c r="C2334" s="1">
        <v>41275</v>
      </c>
      <c r="D2334" s="1">
        <v>41639</v>
      </c>
      <c r="E2334" t="s">
        <v>1898</v>
      </c>
      <c r="G2334" t="s">
        <v>1339</v>
      </c>
      <c r="H2334" t="s">
        <v>47</v>
      </c>
      <c r="I2334" t="str">
        <f>"48084"</f>
        <v>48084</v>
      </c>
      <c r="J2334" t="s">
        <v>22</v>
      </c>
      <c r="K2334" t="s">
        <v>23</v>
      </c>
      <c r="L2334" s="2">
        <v>1163987</v>
      </c>
      <c r="M2334" s="2">
        <v>1584900</v>
      </c>
      <c r="N2334" s="2">
        <v>0</v>
      </c>
      <c r="O2334" s="2">
        <v>924869</v>
      </c>
      <c r="P2334" t="s">
        <v>24</v>
      </c>
      <c r="Q2334" t="s">
        <v>24</v>
      </c>
    </row>
    <row r="2335" spans="1:17" x14ac:dyDescent="0.25">
      <c r="A2335" t="s">
        <v>2359</v>
      </c>
      <c r="B2335" t="s">
        <v>2360</v>
      </c>
      <c r="C2335" s="1">
        <v>41275</v>
      </c>
      <c r="D2335" s="1">
        <v>41639</v>
      </c>
      <c r="E2335" t="s">
        <v>2361</v>
      </c>
      <c r="G2335" t="s">
        <v>167</v>
      </c>
      <c r="H2335" t="s">
        <v>62</v>
      </c>
      <c r="I2335" t="str">
        <f>"45208"</f>
        <v>45208</v>
      </c>
      <c r="J2335" t="s">
        <v>22</v>
      </c>
      <c r="K2335" t="s">
        <v>30</v>
      </c>
      <c r="L2335" s="2">
        <v>1163250</v>
      </c>
      <c r="M2335" s="2">
        <v>291660</v>
      </c>
      <c r="N2335" s="2">
        <v>0</v>
      </c>
      <c r="O2335" s="2">
        <v>186794</v>
      </c>
      <c r="P2335" t="s">
        <v>24</v>
      </c>
      <c r="Q2335" t="s">
        <v>24</v>
      </c>
    </row>
    <row r="2336" spans="1:17" x14ac:dyDescent="0.25">
      <c r="A2336" t="s">
        <v>2464</v>
      </c>
      <c r="B2336" t="s">
        <v>2465</v>
      </c>
      <c r="C2336" s="1">
        <v>41275</v>
      </c>
      <c r="D2336" s="1">
        <v>41639</v>
      </c>
      <c r="E2336" t="s">
        <v>104</v>
      </c>
      <c r="G2336" t="s">
        <v>28</v>
      </c>
      <c r="H2336" t="s">
        <v>29</v>
      </c>
      <c r="I2336" t="str">
        <f>"60680"</f>
        <v>60680</v>
      </c>
      <c r="J2336" t="s">
        <v>22</v>
      </c>
      <c r="K2336" t="s">
        <v>23</v>
      </c>
      <c r="L2336" s="2">
        <v>1162494</v>
      </c>
      <c r="M2336" s="2">
        <v>845744</v>
      </c>
      <c r="N2336" s="2">
        <v>0</v>
      </c>
      <c r="O2336" s="2">
        <v>81250</v>
      </c>
      <c r="P2336" t="s">
        <v>24</v>
      </c>
      <c r="Q2336" t="s">
        <v>24</v>
      </c>
    </row>
    <row r="2337" spans="1:17" x14ac:dyDescent="0.25">
      <c r="A2337" t="s">
        <v>4627</v>
      </c>
      <c r="B2337" t="s">
        <v>4628</v>
      </c>
      <c r="C2337" s="1">
        <v>41275</v>
      </c>
      <c r="D2337" s="1">
        <v>41639</v>
      </c>
      <c r="E2337" t="s">
        <v>4629</v>
      </c>
      <c r="G2337" t="s">
        <v>3088</v>
      </c>
      <c r="H2337" t="s">
        <v>21</v>
      </c>
      <c r="I2337" t="str">
        <f>"46947"</f>
        <v>46947</v>
      </c>
      <c r="J2337" t="s">
        <v>22</v>
      </c>
      <c r="K2337" t="s">
        <v>30</v>
      </c>
      <c r="L2337" s="2">
        <v>1162037</v>
      </c>
      <c r="M2337" s="2">
        <v>75797</v>
      </c>
      <c r="N2337" s="2">
        <v>0</v>
      </c>
      <c r="O2337" s="2">
        <v>58637</v>
      </c>
      <c r="P2337" t="s">
        <v>24</v>
      </c>
      <c r="Q2337" t="s">
        <v>24</v>
      </c>
    </row>
    <row r="2338" spans="1:17" x14ac:dyDescent="0.25">
      <c r="A2338" t="s">
        <v>3829</v>
      </c>
      <c r="B2338" t="s">
        <v>3830</v>
      </c>
      <c r="C2338" s="1">
        <v>41275</v>
      </c>
      <c r="D2338" s="1">
        <v>41639</v>
      </c>
      <c r="E2338" t="s">
        <v>2116</v>
      </c>
      <c r="G2338" t="s">
        <v>663</v>
      </c>
      <c r="H2338" t="s">
        <v>42</v>
      </c>
      <c r="I2338" t="str">
        <f>"53147"</f>
        <v>53147</v>
      </c>
      <c r="J2338" t="s">
        <v>22</v>
      </c>
      <c r="K2338" t="s">
        <v>79</v>
      </c>
      <c r="L2338" s="2">
        <v>1161245</v>
      </c>
      <c r="M2338" s="2">
        <v>21239</v>
      </c>
      <c r="N2338" s="2">
        <v>0</v>
      </c>
      <c r="O2338" s="2">
        <v>49324</v>
      </c>
      <c r="P2338" t="s">
        <v>24</v>
      </c>
      <c r="Q2338" t="s">
        <v>24</v>
      </c>
    </row>
    <row r="2339" spans="1:17" x14ac:dyDescent="0.25">
      <c r="A2339" t="s">
        <v>2613</v>
      </c>
      <c r="B2339" t="s">
        <v>2614</v>
      </c>
      <c r="C2339" s="1">
        <v>41275</v>
      </c>
      <c r="D2339" s="1">
        <v>41639</v>
      </c>
      <c r="E2339" t="s">
        <v>2615</v>
      </c>
      <c r="G2339" t="s">
        <v>1042</v>
      </c>
      <c r="H2339" t="s">
        <v>47</v>
      </c>
      <c r="I2339" t="str">
        <f>"48304"</f>
        <v>48304</v>
      </c>
      <c r="J2339" t="s">
        <v>22</v>
      </c>
      <c r="K2339" t="s">
        <v>30</v>
      </c>
      <c r="L2339" s="2">
        <v>1158473</v>
      </c>
      <c r="M2339" s="2">
        <v>249473</v>
      </c>
      <c r="N2339" s="2">
        <v>0</v>
      </c>
      <c r="O2339" s="2">
        <v>59325</v>
      </c>
      <c r="P2339" t="s">
        <v>24</v>
      </c>
      <c r="Q2339" t="s">
        <v>24</v>
      </c>
    </row>
    <row r="2340" spans="1:17" x14ac:dyDescent="0.25">
      <c r="A2340" t="s">
        <v>2631</v>
      </c>
      <c r="B2340" t="s">
        <v>2632</v>
      </c>
      <c r="C2340" s="1">
        <v>41275</v>
      </c>
      <c r="D2340" s="1">
        <v>41639</v>
      </c>
      <c r="E2340" t="s">
        <v>2633</v>
      </c>
      <c r="G2340" t="s">
        <v>2634</v>
      </c>
      <c r="H2340" t="s">
        <v>29</v>
      </c>
      <c r="I2340" t="str">
        <f>"60403"</f>
        <v>60403</v>
      </c>
      <c r="J2340" t="s">
        <v>22</v>
      </c>
      <c r="K2340" t="s">
        <v>23</v>
      </c>
      <c r="L2340" s="2">
        <v>1158403</v>
      </c>
      <c r="M2340" s="2">
        <v>84934</v>
      </c>
      <c r="N2340" s="2">
        <v>0</v>
      </c>
      <c r="O2340" s="2">
        <v>106777</v>
      </c>
      <c r="P2340" t="s">
        <v>24</v>
      </c>
      <c r="Q2340" t="s">
        <v>24</v>
      </c>
    </row>
    <row r="2341" spans="1:17" x14ac:dyDescent="0.25">
      <c r="A2341" t="s">
        <v>4812</v>
      </c>
      <c r="B2341" t="s">
        <v>4813</v>
      </c>
      <c r="C2341" s="1">
        <v>41275</v>
      </c>
      <c r="D2341" s="1">
        <v>41639</v>
      </c>
      <c r="E2341" t="s">
        <v>4814</v>
      </c>
      <c r="G2341" t="s">
        <v>167</v>
      </c>
      <c r="H2341" t="s">
        <v>62</v>
      </c>
      <c r="I2341" t="str">
        <f>"45211"</f>
        <v>45211</v>
      </c>
      <c r="J2341" t="s">
        <v>22</v>
      </c>
      <c r="K2341" t="s">
        <v>23</v>
      </c>
      <c r="L2341" s="2">
        <v>1157952</v>
      </c>
      <c r="M2341" s="2">
        <v>88146</v>
      </c>
      <c r="N2341" s="2">
        <v>0</v>
      </c>
      <c r="O2341" s="2">
        <v>76514</v>
      </c>
      <c r="P2341" t="s">
        <v>24</v>
      </c>
      <c r="Q2341" t="s">
        <v>24</v>
      </c>
    </row>
    <row r="2342" spans="1:17" x14ac:dyDescent="0.25">
      <c r="A2342" t="s">
        <v>5019</v>
      </c>
      <c r="B2342" t="s">
        <v>5020</v>
      </c>
      <c r="C2342" s="1">
        <v>41456</v>
      </c>
      <c r="D2342" s="1">
        <v>41820</v>
      </c>
      <c r="E2342" t="s">
        <v>5021</v>
      </c>
      <c r="G2342" t="s">
        <v>167</v>
      </c>
      <c r="H2342" t="s">
        <v>62</v>
      </c>
      <c r="I2342" t="str">
        <f>"45202"</f>
        <v>45202</v>
      </c>
      <c r="J2342" t="s">
        <v>22</v>
      </c>
      <c r="K2342" t="s">
        <v>30</v>
      </c>
      <c r="L2342" s="2">
        <v>1157254</v>
      </c>
      <c r="M2342" s="2">
        <v>372413</v>
      </c>
      <c r="N2342" s="2">
        <v>0</v>
      </c>
      <c r="O2342" s="2">
        <v>68204</v>
      </c>
      <c r="P2342" t="s">
        <v>24</v>
      </c>
      <c r="Q2342" t="s">
        <v>24</v>
      </c>
    </row>
    <row r="2343" spans="1:17" x14ac:dyDescent="0.25">
      <c r="A2343" t="s">
        <v>7441</v>
      </c>
      <c r="B2343" t="s">
        <v>7442</v>
      </c>
      <c r="C2343" s="1">
        <v>41275</v>
      </c>
      <c r="D2343" s="1">
        <v>41639</v>
      </c>
      <c r="E2343" t="s">
        <v>7443</v>
      </c>
      <c r="G2343" t="s">
        <v>41</v>
      </c>
      <c r="H2343" t="s">
        <v>42</v>
      </c>
      <c r="I2343" t="str">
        <f>"53201"</f>
        <v>53201</v>
      </c>
      <c r="J2343" t="s">
        <v>22</v>
      </c>
      <c r="K2343" t="s">
        <v>30</v>
      </c>
      <c r="L2343" s="2">
        <v>1156278</v>
      </c>
      <c r="M2343" s="2">
        <v>1166345</v>
      </c>
      <c r="N2343" s="2">
        <v>0</v>
      </c>
      <c r="O2343" s="2">
        <v>1321161</v>
      </c>
      <c r="P2343" t="s">
        <v>24</v>
      </c>
      <c r="Q2343" t="s">
        <v>24</v>
      </c>
    </row>
    <row r="2344" spans="1:17" x14ac:dyDescent="0.25">
      <c r="A2344" t="s">
        <v>685</v>
      </c>
      <c r="B2344" t="s">
        <v>686</v>
      </c>
      <c r="C2344" s="1">
        <v>41275</v>
      </c>
      <c r="D2344" s="1">
        <v>41639</v>
      </c>
      <c r="E2344" t="s">
        <v>458</v>
      </c>
      <c r="G2344" t="s">
        <v>167</v>
      </c>
      <c r="H2344" t="s">
        <v>62</v>
      </c>
      <c r="I2344" t="str">
        <f>"45202"</f>
        <v>45202</v>
      </c>
      <c r="J2344" t="s">
        <v>22</v>
      </c>
      <c r="K2344" t="s">
        <v>30</v>
      </c>
      <c r="L2344" s="2">
        <v>1154663</v>
      </c>
      <c r="M2344" s="2">
        <v>230236</v>
      </c>
      <c r="N2344" s="2">
        <v>0</v>
      </c>
      <c r="O2344" s="2">
        <v>61179</v>
      </c>
      <c r="P2344" t="s">
        <v>24</v>
      </c>
      <c r="Q2344" t="s">
        <v>24</v>
      </c>
    </row>
    <row r="2345" spans="1:17" x14ac:dyDescent="0.25">
      <c r="A2345" t="s">
        <v>4972</v>
      </c>
      <c r="B2345" t="s">
        <v>4973</v>
      </c>
      <c r="C2345" s="1">
        <v>41275</v>
      </c>
      <c r="D2345" s="1">
        <v>41639</v>
      </c>
      <c r="E2345" t="s">
        <v>4974</v>
      </c>
      <c r="G2345" t="s">
        <v>2759</v>
      </c>
      <c r="H2345" t="s">
        <v>29</v>
      </c>
      <c r="I2345" t="str">
        <f>"60093"</f>
        <v>60093</v>
      </c>
      <c r="J2345" t="s">
        <v>22</v>
      </c>
      <c r="K2345" t="s">
        <v>23</v>
      </c>
      <c r="L2345" s="2">
        <v>1153153</v>
      </c>
      <c r="M2345" s="2">
        <v>421370</v>
      </c>
      <c r="N2345" s="2">
        <v>0</v>
      </c>
      <c r="O2345" s="2">
        <v>55700</v>
      </c>
      <c r="P2345" t="s">
        <v>24</v>
      </c>
      <c r="Q2345" t="s">
        <v>24</v>
      </c>
    </row>
    <row r="2346" spans="1:17" x14ac:dyDescent="0.25">
      <c r="A2346" t="s">
        <v>136</v>
      </c>
      <c r="B2346" t="s">
        <v>137</v>
      </c>
      <c r="C2346" s="1">
        <v>41456</v>
      </c>
      <c r="D2346" s="1">
        <v>41820</v>
      </c>
      <c r="E2346" t="s">
        <v>138</v>
      </c>
      <c r="G2346" t="s">
        <v>139</v>
      </c>
      <c r="H2346" t="s">
        <v>47</v>
      </c>
      <c r="I2346" t="str">
        <f>"49512"</f>
        <v>49512</v>
      </c>
      <c r="J2346" t="s">
        <v>22</v>
      </c>
      <c r="K2346" t="s">
        <v>23</v>
      </c>
      <c r="L2346" s="2">
        <v>1151894</v>
      </c>
      <c r="M2346" s="2">
        <v>2065089</v>
      </c>
      <c r="N2346" s="2">
        <v>0</v>
      </c>
      <c r="O2346" s="2">
        <v>15867</v>
      </c>
      <c r="P2346" t="s">
        <v>24</v>
      </c>
      <c r="Q2346" t="s">
        <v>24</v>
      </c>
    </row>
    <row r="2347" spans="1:17" x14ac:dyDescent="0.25">
      <c r="A2347" t="s">
        <v>738</v>
      </c>
      <c r="B2347" t="s">
        <v>739</v>
      </c>
      <c r="C2347" s="1">
        <v>41275</v>
      </c>
      <c r="D2347" s="1">
        <v>41639</v>
      </c>
      <c r="E2347" t="s">
        <v>740</v>
      </c>
      <c r="G2347" t="s">
        <v>741</v>
      </c>
      <c r="H2347" t="s">
        <v>42</v>
      </c>
      <c r="I2347" t="str">
        <f>"54301"</f>
        <v>54301</v>
      </c>
      <c r="J2347" t="s">
        <v>22</v>
      </c>
      <c r="K2347" t="s">
        <v>23</v>
      </c>
      <c r="L2347" s="2">
        <v>1151657</v>
      </c>
      <c r="M2347" s="2">
        <v>58443</v>
      </c>
      <c r="N2347" s="2">
        <v>0</v>
      </c>
      <c r="O2347" s="2">
        <v>71221</v>
      </c>
      <c r="P2347" t="s">
        <v>24</v>
      </c>
      <c r="Q2347" t="s">
        <v>24</v>
      </c>
    </row>
    <row r="2348" spans="1:17" x14ac:dyDescent="0.25">
      <c r="A2348" t="s">
        <v>3007</v>
      </c>
      <c r="B2348" t="s">
        <v>3008</v>
      </c>
      <c r="C2348" s="1">
        <v>41275</v>
      </c>
      <c r="D2348" s="1">
        <v>41639</v>
      </c>
      <c r="E2348" t="s">
        <v>3009</v>
      </c>
      <c r="G2348" t="s">
        <v>659</v>
      </c>
      <c r="H2348" t="s">
        <v>47</v>
      </c>
      <c r="I2348" t="str">
        <f>"48075"</f>
        <v>48075</v>
      </c>
      <c r="J2348" t="s">
        <v>22</v>
      </c>
      <c r="K2348" t="s">
        <v>30</v>
      </c>
      <c r="L2348" s="2">
        <v>1151650</v>
      </c>
      <c r="M2348" s="2">
        <v>107693</v>
      </c>
      <c r="N2348" s="2">
        <v>0</v>
      </c>
      <c r="O2348" s="2">
        <v>61004</v>
      </c>
      <c r="P2348" t="s">
        <v>24</v>
      </c>
      <c r="Q2348" t="s">
        <v>24</v>
      </c>
    </row>
    <row r="2349" spans="1:17" x14ac:dyDescent="0.25">
      <c r="A2349" t="s">
        <v>908</v>
      </c>
      <c r="B2349" t="s">
        <v>909</v>
      </c>
      <c r="C2349" s="1">
        <v>41275</v>
      </c>
      <c r="D2349" s="1">
        <v>41639</v>
      </c>
      <c r="E2349" t="s">
        <v>910</v>
      </c>
      <c r="G2349" t="s">
        <v>911</v>
      </c>
      <c r="H2349" t="s">
        <v>42</v>
      </c>
      <c r="I2349" t="str">
        <f>"54727"</f>
        <v>54727</v>
      </c>
      <c r="J2349" t="s">
        <v>22</v>
      </c>
      <c r="K2349" t="s">
        <v>30</v>
      </c>
      <c r="L2349" s="2">
        <v>1151389</v>
      </c>
      <c r="M2349" s="2">
        <v>510223</v>
      </c>
      <c r="N2349" s="2">
        <v>0</v>
      </c>
      <c r="O2349" s="2">
        <v>11052</v>
      </c>
      <c r="P2349" t="s">
        <v>24</v>
      </c>
      <c r="Q2349" t="s">
        <v>24</v>
      </c>
    </row>
    <row r="2350" spans="1:17" x14ac:dyDescent="0.25">
      <c r="A2350" t="s">
        <v>1139</v>
      </c>
      <c r="B2350" t="s">
        <v>1140</v>
      </c>
      <c r="C2350" s="1">
        <v>41275</v>
      </c>
      <c r="D2350" s="1">
        <v>41639</v>
      </c>
      <c r="E2350" t="s">
        <v>1141</v>
      </c>
      <c r="G2350" t="s">
        <v>167</v>
      </c>
      <c r="H2350" t="s">
        <v>62</v>
      </c>
      <c r="I2350" t="str">
        <f>"45237"</f>
        <v>45237</v>
      </c>
      <c r="J2350" t="s">
        <v>22</v>
      </c>
      <c r="K2350" t="s">
        <v>30</v>
      </c>
      <c r="L2350" s="2">
        <v>1149424</v>
      </c>
      <c r="M2350" s="2">
        <v>44466</v>
      </c>
      <c r="N2350" s="2">
        <v>0</v>
      </c>
      <c r="O2350" s="2">
        <v>67227</v>
      </c>
      <c r="P2350" t="s">
        <v>24</v>
      </c>
      <c r="Q2350" t="s">
        <v>24</v>
      </c>
    </row>
    <row r="2351" spans="1:17" x14ac:dyDescent="0.25">
      <c r="A2351" t="s">
        <v>5264</v>
      </c>
      <c r="B2351" t="s">
        <v>5265</v>
      </c>
      <c r="C2351" s="1">
        <v>41275</v>
      </c>
      <c r="D2351" s="1">
        <v>41639</v>
      </c>
      <c r="E2351" t="s">
        <v>5266</v>
      </c>
      <c r="G2351" t="s">
        <v>659</v>
      </c>
      <c r="H2351" t="s">
        <v>47</v>
      </c>
      <c r="I2351" t="str">
        <f>"48034"</f>
        <v>48034</v>
      </c>
      <c r="J2351" t="s">
        <v>752</v>
      </c>
      <c r="K2351" t="s">
        <v>753</v>
      </c>
      <c r="L2351" s="2">
        <v>1148515</v>
      </c>
      <c r="M2351" s="2">
        <v>7033</v>
      </c>
      <c r="N2351" s="2">
        <v>0</v>
      </c>
      <c r="O2351" s="2">
        <v>130570</v>
      </c>
      <c r="P2351" t="s">
        <v>24</v>
      </c>
      <c r="Q2351" t="s">
        <v>24</v>
      </c>
    </row>
    <row r="2352" spans="1:17" x14ac:dyDescent="0.25">
      <c r="A2352" t="s">
        <v>4862</v>
      </c>
      <c r="B2352" t="s">
        <v>4863</v>
      </c>
      <c r="C2352" s="1">
        <v>40909</v>
      </c>
      <c r="D2352" s="1">
        <v>41274</v>
      </c>
      <c r="E2352" t="s">
        <v>4864</v>
      </c>
      <c r="G2352" t="s">
        <v>3084</v>
      </c>
      <c r="H2352" t="s">
        <v>62</v>
      </c>
      <c r="I2352" t="str">
        <f>"43113"</f>
        <v>43113</v>
      </c>
      <c r="J2352" t="s">
        <v>22</v>
      </c>
      <c r="K2352" t="s">
        <v>23</v>
      </c>
      <c r="L2352" s="2">
        <v>1145424</v>
      </c>
      <c r="M2352" s="2">
        <v>248891</v>
      </c>
      <c r="N2352" s="2">
        <v>0</v>
      </c>
      <c r="O2352" s="2">
        <v>61637</v>
      </c>
      <c r="P2352" t="s">
        <v>24</v>
      </c>
      <c r="Q2352" t="s">
        <v>24</v>
      </c>
    </row>
    <row r="2353" spans="1:17" x14ac:dyDescent="0.25">
      <c r="A2353" t="s">
        <v>1679</v>
      </c>
      <c r="B2353" t="s">
        <v>1680</v>
      </c>
      <c r="C2353" s="1">
        <v>41275</v>
      </c>
      <c r="D2353" s="1">
        <v>41639</v>
      </c>
      <c r="E2353" t="s">
        <v>556</v>
      </c>
      <c r="G2353" t="s">
        <v>167</v>
      </c>
      <c r="H2353" t="s">
        <v>62</v>
      </c>
      <c r="I2353" t="str">
        <f>"45201"</f>
        <v>45201</v>
      </c>
      <c r="J2353" t="s">
        <v>22</v>
      </c>
      <c r="K2353" t="s">
        <v>30</v>
      </c>
      <c r="L2353" s="2">
        <v>1144572</v>
      </c>
      <c r="M2353" s="2">
        <v>874297</v>
      </c>
      <c r="N2353" s="2">
        <v>0</v>
      </c>
      <c r="O2353" s="2">
        <v>199388</v>
      </c>
      <c r="P2353" t="s">
        <v>24</v>
      </c>
      <c r="Q2353" t="s">
        <v>24</v>
      </c>
    </row>
    <row r="2354" spans="1:17" x14ac:dyDescent="0.25">
      <c r="A2354" t="s">
        <v>1917</v>
      </c>
      <c r="B2354" t="s">
        <v>1918</v>
      </c>
      <c r="C2354" s="1">
        <v>41275</v>
      </c>
      <c r="D2354" s="1">
        <v>41639</v>
      </c>
      <c r="E2354" t="s">
        <v>1919</v>
      </c>
      <c r="G2354" t="s">
        <v>1920</v>
      </c>
      <c r="H2354" t="s">
        <v>47</v>
      </c>
      <c r="I2354" t="str">
        <f>"48331"</f>
        <v>48331</v>
      </c>
      <c r="J2354" t="s">
        <v>22</v>
      </c>
      <c r="K2354" t="s">
        <v>23</v>
      </c>
      <c r="L2354" s="2">
        <v>1144094</v>
      </c>
      <c r="M2354" s="2">
        <v>371002</v>
      </c>
      <c r="N2354" s="2">
        <v>0</v>
      </c>
      <c r="O2354" s="2">
        <v>59186</v>
      </c>
      <c r="P2354" t="s">
        <v>24</v>
      </c>
      <c r="Q2354" t="s">
        <v>24</v>
      </c>
    </row>
    <row r="2355" spans="1:17" x14ac:dyDescent="0.25">
      <c r="A2355" t="s">
        <v>1207</v>
      </c>
      <c r="B2355" t="s">
        <v>1208</v>
      </c>
      <c r="C2355" s="1">
        <v>41456</v>
      </c>
      <c r="D2355" s="1">
        <v>41820</v>
      </c>
      <c r="E2355" t="s">
        <v>1209</v>
      </c>
      <c r="G2355" t="s">
        <v>1210</v>
      </c>
      <c r="H2355" t="s">
        <v>29</v>
      </c>
      <c r="I2355" t="str">
        <f>"60406"</f>
        <v>60406</v>
      </c>
      <c r="J2355" t="s">
        <v>63</v>
      </c>
      <c r="K2355" t="s">
        <v>79</v>
      </c>
      <c r="L2355" s="2">
        <v>1142630</v>
      </c>
      <c r="M2355" s="2">
        <v>61480</v>
      </c>
      <c r="N2355" s="2">
        <v>22712</v>
      </c>
      <c r="O2355" s="2">
        <v>51242</v>
      </c>
      <c r="P2355" s="2">
        <v>9842</v>
      </c>
      <c r="Q2355" s="2">
        <v>0</v>
      </c>
    </row>
    <row r="2356" spans="1:17" x14ac:dyDescent="0.25">
      <c r="A2356" t="s">
        <v>4690</v>
      </c>
      <c r="B2356" t="s">
        <v>4691</v>
      </c>
      <c r="C2356" s="1">
        <v>41275</v>
      </c>
      <c r="D2356" s="1">
        <v>41639</v>
      </c>
      <c r="E2356" t="s">
        <v>163</v>
      </c>
      <c r="G2356" t="s">
        <v>28</v>
      </c>
      <c r="H2356" t="s">
        <v>29</v>
      </c>
      <c r="I2356" t="str">
        <f>"60603"</f>
        <v>60603</v>
      </c>
      <c r="J2356" t="s">
        <v>22</v>
      </c>
      <c r="K2356" t="s">
        <v>23</v>
      </c>
      <c r="L2356" s="2">
        <v>1141862</v>
      </c>
      <c r="M2356" s="2">
        <v>566335</v>
      </c>
      <c r="N2356" s="2">
        <v>0</v>
      </c>
      <c r="O2356" s="2">
        <v>181638</v>
      </c>
      <c r="P2356" t="s">
        <v>24</v>
      </c>
      <c r="Q2356" t="s">
        <v>24</v>
      </c>
    </row>
    <row r="2357" spans="1:17" x14ac:dyDescent="0.25">
      <c r="A2357" t="s">
        <v>2457</v>
      </c>
      <c r="B2357" t="s">
        <v>2458</v>
      </c>
      <c r="C2357" s="1">
        <v>41275</v>
      </c>
      <c r="D2357" s="1">
        <v>41639</v>
      </c>
      <c r="E2357" t="s">
        <v>2459</v>
      </c>
      <c r="G2357" t="s">
        <v>2460</v>
      </c>
      <c r="H2357" t="s">
        <v>78</v>
      </c>
      <c r="I2357" t="str">
        <f>"40347"</f>
        <v>40347</v>
      </c>
      <c r="J2357" t="s">
        <v>22</v>
      </c>
      <c r="K2357" t="s">
        <v>30</v>
      </c>
      <c r="L2357" s="2">
        <v>1139905</v>
      </c>
      <c r="M2357" s="2">
        <v>6082</v>
      </c>
      <c r="N2357" s="2">
        <v>0</v>
      </c>
      <c r="O2357" s="2">
        <v>234831</v>
      </c>
      <c r="P2357" t="s">
        <v>24</v>
      </c>
      <c r="Q2357" t="s">
        <v>24</v>
      </c>
    </row>
    <row r="2358" spans="1:17" x14ac:dyDescent="0.25">
      <c r="A2358" t="s">
        <v>5804</v>
      </c>
      <c r="B2358" t="s">
        <v>5805</v>
      </c>
      <c r="C2358" s="1">
        <v>41456</v>
      </c>
      <c r="D2358" s="1">
        <v>41820</v>
      </c>
      <c r="E2358" t="s">
        <v>5806</v>
      </c>
      <c r="G2358" t="s">
        <v>86</v>
      </c>
      <c r="H2358" t="s">
        <v>42</v>
      </c>
      <c r="I2358" t="str">
        <f>"53711"</f>
        <v>53711</v>
      </c>
      <c r="J2358" t="s">
        <v>22</v>
      </c>
      <c r="K2358" t="s">
        <v>23</v>
      </c>
      <c r="L2358" s="2">
        <v>1138933</v>
      </c>
      <c r="M2358" s="2">
        <v>402488</v>
      </c>
      <c r="N2358" s="2">
        <v>0</v>
      </c>
      <c r="O2358" s="2">
        <v>63683</v>
      </c>
      <c r="P2358" t="s">
        <v>24</v>
      </c>
      <c r="Q2358" t="s">
        <v>24</v>
      </c>
    </row>
    <row r="2359" spans="1:17" x14ac:dyDescent="0.25">
      <c r="A2359" t="s">
        <v>5289</v>
      </c>
      <c r="B2359" t="s">
        <v>5290</v>
      </c>
      <c r="C2359" s="1">
        <v>41275</v>
      </c>
      <c r="D2359" s="1">
        <v>41639</v>
      </c>
      <c r="E2359" t="s">
        <v>5291</v>
      </c>
      <c r="G2359" t="s">
        <v>3097</v>
      </c>
      <c r="H2359" t="s">
        <v>29</v>
      </c>
      <c r="I2359" t="str">
        <f>"60477"</f>
        <v>60477</v>
      </c>
      <c r="J2359" t="s">
        <v>22</v>
      </c>
      <c r="K2359" t="s">
        <v>30</v>
      </c>
      <c r="L2359" s="2">
        <v>1137357</v>
      </c>
      <c r="M2359" s="2">
        <v>822529</v>
      </c>
      <c r="N2359" s="2">
        <v>0</v>
      </c>
      <c r="O2359" s="2">
        <v>312297</v>
      </c>
      <c r="P2359" t="s">
        <v>24</v>
      </c>
      <c r="Q2359" t="s">
        <v>24</v>
      </c>
    </row>
    <row r="2360" spans="1:17" x14ac:dyDescent="0.25">
      <c r="A2360" t="s">
        <v>288</v>
      </c>
      <c r="B2360" t="s">
        <v>289</v>
      </c>
      <c r="C2360" s="1">
        <v>41091</v>
      </c>
      <c r="D2360" s="1">
        <v>41455</v>
      </c>
      <c r="E2360" t="s">
        <v>290</v>
      </c>
      <c r="G2360" t="s">
        <v>291</v>
      </c>
      <c r="H2360" t="s">
        <v>21</v>
      </c>
      <c r="I2360" t="str">
        <f>"47025"</f>
        <v>47025</v>
      </c>
      <c r="J2360" t="s">
        <v>22</v>
      </c>
      <c r="K2360" t="s">
        <v>23</v>
      </c>
      <c r="L2360" s="2">
        <v>1135210</v>
      </c>
      <c r="M2360" s="2">
        <v>24393</v>
      </c>
      <c r="N2360" s="2">
        <v>0</v>
      </c>
      <c r="O2360" s="2">
        <v>89680</v>
      </c>
      <c r="P2360" t="s">
        <v>24</v>
      </c>
      <c r="Q2360" t="s">
        <v>24</v>
      </c>
    </row>
    <row r="2361" spans="1:17" x14ac:dyDescent="0.25">
      <c r="A2361" t="s">
        <v>2984</v>
      </c>
      <c r="B2361" t="s">
        <v>2985</v>
      </c>
      <c r="C2361" s="1">
        <v>41456</v>
      </c>
      <c r="D2361" s="1">
        <v>41820</v>
      </c>
      <c r="E2361" t="s">
        <v>2986</v>
      </c>
      <c r="G2361" t="s">
        <v>46</v>
      </c>
      <c r="H2361" t="s">
        <v>47</v>
      </c>
      <c r="I2361" t="str">
        <f>"49015"</f>
        <v>49015</v>
      </c>
      <c r="J2361" t="s">
        <v>22</v>
      </c>
      <c r="K2361" t="s">
        <v>23</v>
      </c>
      <c r="L2361" s="2">
        <v>1134455</v>
      </c>
      <c r="M2361" s="2">
        <v>202840</v>
      </c>
      <c r="N2361" s="2">
        <v>0</v>
      </c>
      <c r="O2361" s="2">
        <v>64852</v>
      </c>
      <c r="P2361" t="s">
        <v>24</v>
      </c>
      <c r="Q2361" t="s">
        <v>24</v>
      </c>
    </row>
    <row r="2362" spans="1:17" x14ac:dyDescent="0.25">
      <c r="A2362" t="s">
        <v>2150</v>
      </c>
      <c r="B2362" t="s">
        <v>2151</v>
      </c>
      <c r="C2362" s="1">
        <v>41275</v>
      </c>
      <c r="D2362" s="1">
        <v>41639</v>
      </c>
      <c r="E2362" t="s">
        <v>2152</v>
      </c>
      <c r="G2362" t="s">
        <v>28</v>
      </c>
      <c r="H2362" t="s">
        <v>29</v>
      </c>
      <c r="I2362" t="str">
        <f>"60606"</f>
        <v>60606</v>
      </c>
      <c r="J2362" t="s">
        <v>22</v>
      </c>
      <c r="K2362" t="s">
        <v>30</v>
      </c>
      <c r="L2362" s="2">
        <v>1133866</v>
      </c>
      <c r="M2362" s="2">
        <v>200808</v>
      </c>
      <c r="N2362" s="2">
        <v>0</v>
      </c>
      <c r="O2362" s="2">
        <v>86778</v>
      </c>
      <c r="P2362" t="s">
        <v>24</v>
      </c>
      <c r="Q2362" t="s">
        <v>24</v>
      </c>
    </row>
    <row r="2363" spans="1:17" x14ac:dyDescent="0.25">
      <c r="A2363" t="s">
        <v>1317</v>
      </c>
      <c r="B2363" t="s">
        <v>1318</v>
      </c>
      <c r="C2363" s="1">
        <v>40909</v>
      </c>
      <c r="D2363" s="1">
        <v>41274</v>
      </c>
      <c r="E2363" t="s">
        <v>1319</v>
      </c>
      <c r="G2363" t="s">
        <v>432</v>
      </c>
      <c r="H2363" t="s">
        <v>47</v>
      </c>
      <c r="I2363" t="str">
        <f>"49424"</f>
        <v>49424</v>
      </c>
      <c r="J2363" t="s">
        <v>22</v>
      </c>
      <c r="K2363" t="s">
        <v>23</v>
      </c>
      <c r="L2363" s="2">
        <v>1133740</v>
      </c>
      <c r="M2363" s="2">
        <v>495136</v>
      </c>
      <c r="N2363" s="2">
        <v>0</v>
      </c>
      <c r="O2363" s="2">
        <v>534032</v>
      </c>
      <c r="P2363" t="s">
        <v>24</v>
      </c>
      <c r="Q2363" t="s">
        <v>24</v>
      </c>
    </row>
    <row r="2364" spans="1:17" x14ac:dyDescent="0.25">
      <c r="A2364" t="s">
        <v>2941</v>
      </c>
      <c r="B2364" t="s">
        <v>2942</v>
      </c>
      <c r="C2364" s="1">
        <v>41275</v>
      </c>
      <c r="D2364" s="1">
        <v>41639</v>
      </c>
      <c r="E2364" t="s">
        <v>2943</v>
      </c>
      <c r="G2364" t="s">
        <v>1965</v>
      </c>
      <c r="H2364" t="s">
        <v>42</v>
      </c>
      <c r="I2364" t="str">
        <f>"53073"</f>
        <v>53073</v>
      </c>
      <c r="J2364" t="s">
        <v>63</v>
      </c>
      <c r="K2364" t="s">
        <v>79</v>
      </c>
      <c r="L2364" s="2">
        <v>1129903</v>
      </c>
      <c r="M2364" s="2">
        <v>199400</v>
      </c>
      <c r="N2364" s="2">
        <v>2606</v>
      </c>
      <c r="O2364" s="2">
        <v>62482</v>
      </c>
      <c r="P2364" s="2">
        <v>25431</v>
      </c>
      <c r="Q2364" s="2">
        <v>2164</v>
      </c>
    </row>
    <row r="2365" spans="1:17" x14ac:dyDescent="0.25">
      <c r="A2365" t="s">
        <v>5615</v>
      </c>
      <c r="B2365" t="s">
        <v>5616</v>
      </c>
      <c r="C2365" s="1">
        <v>41275</v>
      </c>
      <c r="D2365" s="1">
        <v>41639</v>
      </c>
      <c r="E2365" t="s">
        <v>5617</v>
      </c>
      <c r="G2365" t="s">
        <v>5064</v>
      </c>
      <c r="H2365" t="s">
        <v>29</v>
      </c>
      <c r="I2365" t="str">
        <f>"60525"</f>
        <v>60525</v>
      </c>
      <c r="J2365" t="s">
        <v>22</v>
      </c>
      <c r="K2365" t="s">
        <v>23</v>
      </c>
      <c r="L2365" s="2">
        <v>1129003</v>
      </c>
      <c r="M2365" s="2">
        <v>1079795</v>
      </c>
      <c r="N2365" s="2">
        <v>0</v>
      </c>
      <c r="O2365" s="2">
        <v>55647</v>
      </c>
      <c r="P2365" t="s">
        <v>24</v>
      </c>
      <c r="Q2365" t="s">
        <v>24</v>
      </c>
    </row>
    <row r="2366" spans="1:17" x14ac:dyDescent="0.25">
      <c r="A2366" t="s">
        <v>3257</v>
      </c>
      <c r="B2366" t="s">
        <v>3258</v>
      </c>
      <c r="C2366" s="1">
        <v>40909</v>
      </c>
      <c r="D2366" s="1">
        <v>41274</v>
      </c>
      <c r="E2366" t="s">
        <v>3259</v>
      </c>
      <c r="G2366" t="s">
        <v>3260</v>
      </c>
      <c r="H2366" t="s">
        <v>62</v>
      </c>
      <c r="I2366" t="str">
        <f>"44118"</f>
        <v>44118</v>
      </c>
      <c r="J2366" t="s">
        <v>22</v>
      </c>
      <c r="K2366" t="s">
        <v>23</v>
      </c>
      <c r="L2366" s="2">
        <v>1129001</v>
      </c>
      <c r="M2366" s="2">
        <v>242631</v>
      </c>
      <c r="N2366" s="2">
        <v>0</v>
      </c>
      <c r="O2366" s="2">
        <v>66098</v>
      </c>
      <c r="P2366" t="s">
        <v>24</v>
      </c>
      <c r="Q2366" t="s">
        <v>24</v>
      </c>
    </row>
    <row r="2367" spans="1:17" x14ac:dyDescent="0.25">
      <c r="A2367" t="s">
        <v>3989</v>
      </c>
      <c r="B2367" t="s">
        <v>3990</v>
      </c>
      <c r="C2367" s="1">
        <v>41275</v>
      </c>
      <c r="D2367" s="1">
        <v>41639</v>
      </c>
      <c r="E2367" t="s">
        <v>3991</v>
      </c>
      <c r="G2367" t="s">
        <v>3992</v>
      </c>
      <c r="H2367" t="s">
        <v>62</v>
      </c>
      <c r="I2367" t="str">
        <f>"44811"</f>
        <v>44811</v>
      </c>
      <c r="J2367" t="s">
        <v>22</v>
      </c>
      <c r="K2367" t="s">
        <v>91</v>
      </c>
      <c r="L2367" s="2">
        <v>1128921</v>
      </c>
      <c r="M2367" s="2">
        <v>529221</v>
      </c>
      <c r="N2367" s="2">
        <v>0</v>
      </c>
      <c r="O2367" s="2">
        <v>58098</v>
      </c>
      <c r="P2367" t="s">
        <v>24</v>
      </c>
      <c r="Q2367" t="s">
        <v>24</v>
      </c>
    </row>
    <row r="2368" spans="1:17" x14ac:dyDescent="0.25">
      <c r="A2368" t="s">
        <v>2043</v>
      </c>
      <c r="B2368" t="s">
        <v>2044</v>
      </c>
      <c r="C2368" s="1">
        <v>41275</v>
      </c>
      <c r="D2368" s="1">
        <v>41639</v>
      </c>
      <c r="E2368" t="s">
        <v>2045</v>
      </c>
      <c r="G2368" t="s">
        <v>28</v>
      </c>
      <c r="H2368" t="s">
        <v>29</v>
      </c>
      <c r="I2368" t="str">
        <f>"60638"</f>
        <v>60638</v>
      </c>
      <c r="J2368" t="s">
        <v>22</v>
      </c>
      <c r="K2368" t="s">
        <v>23</v>
      </c>
      <c r="L2368" s="2">
        <v>1123329</v>
      </c>
      <c r="M2368" s="2">
        <v>342077</v>
      </c>
      <c r="N2368" s="2">
        <v>0</v>
      </c>
      <c r="O2368" s="2">
        <v>66436</v>
      </c>
      <c r="P2368" t="s">
        <v>24</v>
      </c>
      <c r="Q2368" t="s">
        <v>24</v>
      </c>
    </row>
    <row r="2369" spans="1:17" x14ac:dyDescent="0.25">
      <c r="A2369" t="s">
        <v>2947</v>
      </c>
      <c r="B2369" t="s">
        <v>2948</v>
      </c>
      <c r="C2369" s="1">
        <v>41275</v>
      </c>
      <c r="D2369" s="1">
        <v>41639</v>
      </c>
      <c r="E2369" t="s">
        <v>2949</v>
      </c>
      <c r="G2369" t="s">
        <v>86</v>
      </c>
      <c r="H2369" t="s">
        <v>42</v>
      </c>
      <c r="I2369" t="str">
        <f>"53705"</f>
        <v>53705</v>
      </c>
      <c r="J2369" t="s">
        <v>22</v>
      </c>
      <c r="K2369" t="s">
        <v>30</v>
      </c>
      <c r="L2369" s="2">
        <v>1123260</v>
      </c>
      <c r="M2369" s="2">
        <v>369880</v>
      </c>
      <c r="N2369" s="2">
        <v>0</v>
      </c>
      <c r="O2369" s="2">
        <v>44975</v>
      </c>
      <c r="P2369" t="s">
        <v>24</v>
      </c>
      <c r="Q2369" t="s">
        <v>24</v>
      </c>
    </row>
    <row r="2370" spans="1:17" x14ac:dyDescent="0.25">
      <c r="A2370" t="s">
        <v>5932</v>
      </c>
      <c r="B2370" t="s">
        <v>5933</v>
      </c>
      <c r="C2370" s="1">
        <v>41275</v>
      </c>
      <c r="D2370" s="1">
        <v>41639</v>
      </c>
      <c r="E2370" t="s">
        <v>5934</v>
      </c>
      <c r="G2370" t="s">
        <v>5935</v>
      </c>
      <c r="H2370" t="s">
        <v>29</v>
      </c>
      <c r="I2370" t="str">
        <f>"60527"</f>
        <v>60527</v>
      </c>
      <c r="J2370" t="s">
        <v>22</v>
      </c>
      <c r="K2370" t="s">
        <v>23</v>
      </c>
      <c r="L2370" s="2">
        <v>1122850</v>
      </c>
      <c r="M2370" s="2">
        <v>144302</v>
      </c>
      <c r="N2370" s="2">
        <v>0</v>
      </c>
      <c r="O2370" s="2">
        <v>100076</v>
      </c>
      <c r="P2370" t="s">
        <v>24</v>
      </c>
      <c r="Q2370" t="s">
        <v>24</v>
      </c>
    </row>
    <row r="2371" spans="1:17" x14ac:dyDescent="0.25">
      <c r="A2371" t="s">
        <v>4570</v>
      </c>
      <c r="B2371" t="s">
        <v>4571</v>
      </c>
      <c r="C2371" s="1">
        <v>41579</v>
      </c>
      <c r="D2371" s="1">
        <v>41943</v>
      </c>
      <c r="E2371" t="s">
        <v>1342</v>
      </c>
      <c r="G2371" t="s">
        <v>77</v>
      </c>
      <c r="H2371" t="s">
        <v>78</v>
      </c>
      <c r="I2371" t="str">
        <f>"40232"</f>
        <v>40232</v>
      </c>
      <c r="J2371" t="s">
        <v>22</v>
      </c>
      <c r="K2371" t="s">
        <v>91</v>
      </c>
      <c r="L2371" s="2">
        <v>1122567</v>
      </c>
      <c r="M2371" s="2">
        <v>149449</v>
      </c>
      <c r="N2371" s="2">
        <v>0</v>
      </c>
      <c r="O2371" s="2">
        <v>60491</v>
      </c>
      <c r="P2371" t="s">
        <v>24</v>
      </c>
      <c r="Q2371" t="s">
        <v>24</v>
      </c>
    </row>
    <row r="2372" spans="1:17" x14ac:dyDescent="0.25">
      <c r="A2372" t="s">
        <v>4356</v>
      </c>
      <c r="B2372" t="s">
        <v>4357</v>
      </c>
      <c r="C2372" s="1">
        <v>40909</v>
      </c>
      <c r="D2372" s="1">
        <v>41274</v>
      </c>
      <c r="E2372" t="s">
        <v>4358</v>
      </c>
      <c r="G2372" t="s">
        <v>4359</v>
      </c>
      <c r="H2372" t="s">
        <v>62</v>
      </c>
      <c r="I2372" t="str">
        <f>"43537"</f>
        <v>43537</v>
      </c>
      <c r="J2372" t="s">
        <v>22</v>
      </c>
      <c r="K2372" t="s">
        <v>23</v>
      </c>
      <c r="L2372" s="2">
        <v>1120968</v>
      </c>
      <c r="M2372" s="2">
        <v>40511</v>
      </c>
      <c r="N2372" s="2">
        <v>0</v>
      </c>
      <c r="O2372" s="2">
        <v>7526</v>
      </c>
      <c r="P2372" t="s">
        <v>24</v>
      </c>
      <c r="Q2372" t="s">
        <v>24</v>
      </c>
    </row>
    <row r="2373" spans="1:17" x14ac:dyDescent="0.25">
      <c r="A2373" t="s">
        <v>1400</v>
      </c>
      <c r="B2373" t="s">
        <v>1401</v>
      </c>
      <c r="C2373" s="1">
        <v>41275</v>
      </c>
      <c r="D2373" s="1">
        <v>41639</v>
      </c>
      <c r="E2373" t="s">
        <v>1402</v>
      </c>
      <c r="G2373" t="s">
        <v>337</v>
      </c>
      <c r="H2373" t="s">
        <v>62</v>
      </c>
      <c r="I2373" t="str">
        <f>"44122"</f>
        <v>44122</v>
      </c>
      <c r="J2373" t="s">
        <v>22</v>
      </c>
      <c r="K2373" t="s">
        <v>23</v>
      </c>
      <c r="L2373" s="2">
        <v>1120942</v>
      </c>
      <c r="M2373" s="2">
        <v>207482</v>
      </c>
      <c r="N2373" s="2">
        <v>0</v>
      </c>
      <c r="O2373" s="2">
        <v>40545</v>
      </c>
      <c r="P2373" t="s">
        <v>24</v>
      </c>
      <c r="Q2373" t="s">
        <v>24</v>
      </c>
    </row>
    <row r="2374" spans="1:17" x14ac:dyDescent="0.25">
      <c r="A2374" t="s">
        <v>3927</v>
      </c>
      <c r="B2374" t="s">
        <v>3928</v>
      </c>
      <c r="C2374" s="1">
        <v>41275</v>
      </c>
      <c r="D2374" s="1">
        <v>41639</v>
      </c>
      <c r="E2374" t="s">
        <v>3929</v>
      </c>
      <c r="G2374" t="s">
        <v>940</v>
      </c>
      <c r="H2374" t="s">
        <v>78</v>
      </c>
      <c r="I2374" t="str">
        <f>"42347"</f>
        <v>42347</v>
      </c>
      <c r="J2374" t="s">
        <v>22</v>
      </c>
      <c r="K2374" t="s">
        <v>30</v>
      </c>
      <c r="L2374" s="2">
        <v>1120426</v>
      </c>
      <c r="M2374" s="2">
        <v>142478</v>
      </c>
      <c r="N2374" s="2">
        <v>0</v>
      </c>
      <c r="O2374" s="2">
        <v>62143</v>
      </c>
      <c r="P2374" t="s">
        <v>24</v>
      </c>
      <c r="Q2374" t="s">
        <v>24</v>
      </c>
    </row>
    <row r="2375" spans="1:17" x14ac:dyDescent="0.25">
      <c r="A2375" t="s">
        <v>1576</v>
      </c>
      <c r="B2375" t="s">
        <v>1577</v>
      </c>
      <c r="C2375" s="1">
        <v>41275</v>
      </c>
      <c r="D2375" s="1">
        <v>41639</v>
      </c>
      <c r="E2375" t="s">
        <v>1578</v>
      </c>
      <c r="G2375" t="s">
        <v>1579</v>
      </c>
      <c r="H2375" t="s">
        <v>62</v>
      </c>
      <c r="I2375" t="str">
        <f>"45356"</f>
        <v>45356</v>
      </c>
      <c r="J2375" t="s">
        <v>22</v>
      </c>
      <c r="K2375" t="s">
        <v>23</v>
      </c>
      <c r="L2375" s="2">
        <v>1119716</v>
      </c>
      <c r="M2375" s="2">
        <v>469527</v>
      </c>
      <c r="N2375" s="2">
        <v>0</v>
      </c>
      <c r="O2375" s="2">
        <v>130729</v>
      </c>
      <c r="P2375" t="s">
        <v>24</v>
      </c>
      <c r="Q2375" t="s">
        <v>24</v>
      </c>
    </row>
    <row r="2376" spans="1:17" x14ac:dyDescent="0.25">
      <c r="A2376" t="s">
        <v>5911</v>
      </c>
      <c r="B2376" t="s">
        <v>5912</v>
      </c>
      <c r="C2376" s="1">
        <v>41275</v>
      </c>
      <c r="D2376" s="1">
        <v>41639</v>
      </c>
      <c r="E2376" t="s">
        <v>5913</v>
      </c>
      <c r="G2376" t="s">
        <v>3173</v>
      </c>
      <c r="H2376" t="s">
        <v>29</v>
      </c>
      <c r="I2376" t="str">
        <f>"60004"</f>
        <v>60004</v>
      </c>
      <c r="J2376" t="s">
        <v>22</v>
      </c>
      <c r="K2376" t="s">
        <v>30</v>
      </c>
      <c r="L2376" s="2">
        <v>1118907</v>
      </c>
      <c r="M2376" s="2">
        <v>227297</v>
      </c>
      <c r="N2376" s="2">
        <v>12293</v>
      </c>
      <c r="O2376" s="2">
        <v>87711</v>
      </c>
      <c r="P2376" t="s">
        <v>24</v>
      </c>
      <c r="Q2376" t="s">
        <v>24</v>
      </c>
    </row>
    <row r="2377" spans="1:17" x14ac:dyDescent="0.25">
      <c r="A2377" t="s">
        <v>95</v>
      </c>
      <c r="B2377" t="s">
        <v>96</v>
      </c>
      <c r="C2377" s="1">
        <v>41456</v>
      </c>
      <c r="D2377" s="1">
        <v>41820</v>
      </c>
      <c r="E2377" t="s">
        <v>97</v>
      </c>
      <c r="G2377" t="s">
        <v>98</v>
      </c>
      <c r="H2377" t="s">
        <v>29</v>
      </c>
      <c r="I2377" t="str">
        <f>"60516"</f>
        <v>60516</v>
      </c>
      <c r="J2377" t="s">
        <v>22</v>
      </c>
      <c r="K2377" t="s">
        <v>91</v>
      </c>
      <c r="L2377" s="2">
        <v>1117403</v>
      </c>
      <c r="M2377" s="2">
        <v>198833</v>
      </c>
      <c r="N2377" s="2">
        <v>0</v>
      </c>
      <c r="O2377" s="2">
        <v>169616</v>
      </c>
      <c r="P2377" t="s">
        <v>24</v>
      </c>
      <c r="Q2377" t="s">
        <v>24</v>
      </c>
    </row>
    <row r="2378" spans="1:17" x14ac:dyDescent="0.25">
      <c r="A2378" t="s">
        <v>5995</v>
      </c>
      <c r="B2378" t="s">
        <v>5996</v>
      </c>
      <c r="C2378" s="1">
        <v>41275</v>
      </c>
      <c r="D2378" s="1">
        <v>41639</v>
      </c>
      <c r="E2378" t="s">
        <v>5997</v>
      </c>
      <c r="G2378" t="s">
        <v>1853</v>
      </c>
      <c r="H2378" t="s">
        <v>29</v>
      </c>
      <c r="I2378" t="str">
        <f>"62301"</f>
        <v>62301</v>
      </c>
      <c r="J2378" t="s">
        <v>22</v>
      </c>
      <c r="K2378" t="s">
        <v>30</v>
      </c>
      <c r="L2378" s="2">
        <v>1115703</v>
      </c>
      <c r="M2378" s="2">
        <v>49756</v>
      </c>
      <c r="N2378" s="2">
        <v>0</v>
      </c>
      <c r="O2378" s="2">
        <v>224295</v>
      </c>
      <c r="P2378" t="s">
        <v>24</v>
      </c>
      <c r="Q2378" t="s">
        <v>24</v>
      </c>
    </row>
    <row r="2379" spans="1:17" x14ac:dyDescent="0.25">
      <c r="A2379" t="s">
        <v>6049</v>
      </c>
      <c r="B2379" t="s">
        <v>6050</v>
      </c>
      <c r="C2379" s="1">
        <v>41275</v>
      </c>
      <c r="D2379" s="1">
        <v>41639</v>
      </c>
      <c r="E2379" t="s">
        <v>6051</v>
      </c>
      <c r="G2379" t="s">
        <v>741</v>
      </c>
      <c r="H2379" t="s">
        <v>42</v>
      </c>
      <c r="I2379" t="str">
        <f>"54303"</f>
        <v>54303</v>
      </c>
      <c r="J2379" t="s">
        <v>22</v>
      </c>
      <c r="K2379" t="s">
        <v>30</v>
      </c>
      <c r="L2379" s="2">
        <v>1114186</v>
      </c>
      <c r="M2379" s="2">
        <v>163217</v>
      </c>
      <c r="N2379" s="2">
        <v>0</v>
      </c>
      <c r="O2379" s="2">
        <v>57009</v>
      </c>
      <c r="P2379" t="s">
        <v>24</v>
      </c>
      <c r="Q2379" t="s">
        <v>24</v>
      </c>
    </row>
    <row r="2380" spans="1:17" x14ac:dyDescent="0.25">
      <c r="A2380" t="s">
        <v>3701</v>
      </c>
      <c r="B2380" t="s">
        <v>3702</v>
      </c>
      <c r="C2380" s="1">
        <v>41275</v>
      </c>
      <c r="D2380" s="1">
        <v>41639</v>
      </c>
      <c r="E2380" t="s">
        <v>3703</v>
      </c>
      <c r="G2380" t="s">
        <v>229</v>
      </c>
      <c r="H2380" t="s">
        <v>29</v>
      </c>
      <c r="I2380" t="str">
        <f>"61602"</f>
        <v>61602</v>
      </c>
      <c r="J2380" t="s">
        <v>22</v>
      </c>
      <c r="K2380" t="s">
        <v>23</v>
      </c>
      <c r="L2380" s="2">
        <v>1112282</v>
      </c>
      <c r="M2380" s="2">
        <v>603340</v>
      </c>
      <c r="N2380" s="2">
        <v>0</v>
      </c>
      <c r="O2380" s="2">
        <v>526630</v>
      </c>
      <c r="P2380" t="s">
        <v>24</v>
      </c>
      <c r="Q2380" t="s">
        <v>24</v>
      </c>
    </row>
    <row r="2381" spans="1:17" x14ac:dyDescent="0.25">
      <c r="A2381" t="s">
        <v>17</v>
      </c>
      <c r="B2381" t="s">
        <v>18</v>
      </c>
      <c r="C2381" s="1">
        <v>41456</v>
      </c>
      <c r="D2381" s="1">
        <v>41820</v>
      </c>
      <c r="E2381" t="s">
        <v>19</v>
      </c>
      <c r="G2381" t="s">
        <v>20</v>
      </c>
      <c r="H2381" t="s">
        <v>21</v>
      </c>
      <c r="I2381" t="str">
        <f>"46240"</f>
        <v>46240</v>
      </c>
      <c r="J2381" t="s">
        <v>22</v>
      </c>
      <c r="K2381" t="s">
        <v>23</v>
      </c>
      <c r="L2381" s="2">
        <v>1111587</v>
      </c>
      <c r="M2381" s="2">
        <v>51302</v>
      </c>
      <c r="N2381" s="2">
        <v>0</v>
      </c>
      <c r="O2381" s="2">
        <v>140568</v>
      </c>
      <c r="P2381" t="s">
        <v>24</v>
      </c>
      <c r="Q2381" t="s">
        <v>24</v>
      </c>
    </row>
    <row r="2382" spans="1:17" x14ac:dyDescent="0.25">
      <c r="A2382" t="s">
        <v>5638</v>
      </c>
      <c r="B2382" t="s">
        <v>5639</v>
      </c>
      <c r="C2382" s="1">
        <v>41275</v>
      </c>
      <c r="D2382" s="1">
        <v>41639</v>
      </c>
      <c r="E2382" t="s">
        <v>5640</v>
      </c>
      <c r="G2382" t="s">
        <v>684</v>
      </c>
      <c r="H2382" t="s">
        <v>21</v>
      </c>
      <c r="I2382" t="str">
        <f>"47904"</f>
        <v>47904</v>
      </c>
      <c r="J2382" t="s">
        <v>63</v>
      </c>
      <c r="K2382" t="s">
        <v>79</v>
      </c>
      <c r="L2382" s="2">
        <v>1111577</v>
      </c>
      <c r="M2382" s="2">
        <v>842396</v>
      </c>
      <c r="N2382" s="2">
        <v>639002</v>
      </c>
      <c r="O2382" s="2">
        <v>847262</v>
      </c>
      <c r="P2382" s="2">
        <v>115762</v>
      </c>
      <c r="Q2382" s="2">
        <v>63217</v>
      </c>
    </row>
    <row r="2383" spans="1:17" x14ac:dyDescent="0.25">
      <c r="A2383" t="s">
        <v>3264</v>
      </c>
      <c r="B2383" t="s">
        <v>3265</v>
      </c>
      <c r="C2383" s="1">
        <v>40909</v>
      </c>
      <c r="D2383" s="1">
        <v>41274</v>
      </c>
      <c r="E2383" t="s">
        <v>3266</v>
      </c>
      <c r="G2383" t="s">
        <v>20</v>
      </c>
      <c r="H2383" t="s">
        <v>21</v>
      </c>
      <c r="I2383" t="str">
        <f>"46204"</f>
        <v>46204</v>
      </c>
      <c r="J2383" t="s">
        <v>22</v>
      </c>
      <c r="K2383" t="s">
        <v>23</v>
      </c>
      <c r="L2383" s="2">
        <v>1111433</v>
      </c>
      <c r="M2383" s="2">
        <v>885351</v>
      </c>
      <c r="N2383" s="2">
        <v>0</v>
      </c>
      <c r="O2383" s="2">
        <v>113042</v>
      </c>
      <c r="P2383" t="s">
        <v>24</v>
      </c>
      <c r="Q2383" t="s">
        <v>24</v>
      </c>
    </row>
    <row r="2384" spans="1:17" x14ac:dyDescent="0.25">
      <c r="A2384" t="s">
        <v>4435</v>
      </c>
      <c r="B2384" t="s">
        <v>4436</v>
      </c>
      <c r="C2384" s="1">
        <v>41275</v>
      </c>
      <c r="D2384" s="1">
        <v>41639</v>
      </c>
      <c r="E2384" t="s">
        <v>4437</v>
      </c>
      <c r="G2384" t="s">
        <v>4438</v>
      </c>
      <c r="H2384" t="s">
        <v>29</v>
      </c>
      <c r="I2384" t="str">
        <f>"60053"</f>
        <v>60053</v>
      </c>
      <c r="J2384" t="s">
        <v>22</v>
      </c>
      <c r="K2384" t="s">
        <v>23</v>
      </c>
      <c r="L2384" s="2">
        <v>1110118</v>
      </c>
      <c r="M2384" s="2">
        <v>84600</v>
      </c>
      <c r="N2384" s="2">
        <v>0</v>
      </c>
      <c r="O2384" s="2">
        <v>94118</v>
      </c>
      <c r="P2384" t="s">
        <v>24</v>
      </c>
      <c r="Q2384" t="s">
        <v>24</v>
      </c>
    </row>
    <row r="2385" spans="1:17" x14ac:dyDescent="0.25">
      <c r="A2385" t="s">
        <v>5589</v>
      </c>
      <c r="B2385" t="s">
        <v>5590</v>
      </c>
      <c r="C2385" s="1">
        <v>41275</v>
      </c>
      <c r="D2385" s="1">
        <v>41639</v>
      </c>
      <c r="E2385" t="s">
        <v>5591</v>
      </c>
      <c r="G2385" t="s">
        <v>5592</v>
      </c>
      <c r="H2385" t="s">
        <v>29</v>
      </c>
      <c r="I2385" t="str">
        <f>"62420"</f>
        <v>62420</v>
      </c>
      <c r="J2385" t="s">
        <v>22</v>
      </c>
      <c r="K2385" t="s">
        <v>23</v>
      </c>
      <c r="L2385" s="2">
        <v>1110007</v>
      </c>
      <c r="M2385" s="2">
        <v>62998</v>
      </c>
      <c r="N2385" s="2">
        <v>0</v>
      </c>
      <c r="O2385" s="2">
        <v>87732</v>
      </c>
      <c r="P2385" t="s">
        <v>24</v>
      </c>
      <c r="Q2385" t="s">
        <v>24</v>
      </c>
    </row>
    <row r="2386" spans="1:17" x14ac:dyDescent="0.25">
      <c r="A2386" t="s">
        <v>937</v>
      </c>
      <c r="B2386" t="s">
        <v>938</v>
      </c>
      <c r="C2386" s="1">
        <v>41275</v>
      </c>
      <c r="D2386" s="1">
        <v>41639</v>
      </c>
      <c r="E2386" t="s">
        <v>939</v>
      </c>
      <c r="G2386" t="s">
        <v>940</v>
      </c>
      <c r="H2386" t="s">
        <v>42</v>
      </c>
      <c r="I2386" t="str">
        <f>"53027"</f>
        <v>53027</v>
      </c>
      <c r="J2386" t="s">
        <v>22</v>
      </c>
      <c r="K2386" t="s">
        <v>30</v>
      </c>
      <c r="L2386" s="2">
        <v>1109587</v>
      </c>
      <c r="M2386" s="2">
        <v>200042</v>
      </c>
      <c r="N2386" s="2">
        <v>0</v>
      </c>
      <c r="O2386" s="2">
        <v>78457</v>
      </c>
      <c r="P2386" t="s">
        <v>24</v>
      </c>
      <c r="Q2386" t="s">
        <v>24</v>
      </c>
    </row>
    <row r="2387" spans="1:17" x14ac:dyDescent="0.25">
      <c r="A2387" t="s">
        <v>4105</v>
      </c>
      <c r="B2387" t="s">
        <v>4106</v>
      </c>
      <c r="C2387" s="1">
        <v>41275</v>
      </c>
      <c r="D2387" s="1">
        <v>41639</v>
      </c>
      <c r="E2387" t="s">
        <v>4107</v>
      </c>
      <c r="G2387" t="s">
        <v>659</v>
      </c>
      <c r="H2387" t="s">
        <v>47</v>
      </c>
      <c r="I2387" t="str">
        <f>"48075"</f>
        <v>48075</v>
      </c>
      <c r="J2387" t="s">
        <v>63</v>
      </c>
      <c r="K2387" t="s">
        <v>79</v>
      </c>
      <c r="L2387" s="2">
        <v>1109551</v>
      </c>
      <c r="M2387" s="2">
        <v>136125</v>
      </c>
      <c r="N2387" s="2">
        <v>0</v>
      </c>
      <c r="O2387" s="2">
        <v>114650</v>
      </c>
      <c r="P2387" s="2">
        <v>10960</v>
      </c>
      <c r="Q2387" s="2">
        <v>0</v>
      </c>
    </row>
    <row r="2388" spans="1:17" x14ac:dyDescent="0.25">
      <c r="A2388" t="s">
        <v>2735</v>
      </c>
      <c r="B2388" t="s">
        <v>2736</v>
      </c>
      <c r="C2388" s="1">
        <v>41456</v>
      </c>
      <c r="D2388" s="1">
        <v>41820</v>
      </c>
      <c r="E2388" t="s">
        <v>2737</v>
      </c>
      <c r="G2388" t="s">
        <v>2738</v>
      </c>
      <c r="H2388" t="s">
        <v>42</v>
      </c>
      <c r="I2388" t="str">
        <f>"53014"</f>
        <v>53014</v>
      </c>
      <c r="J2388" t="s">
        <v>22</v>
      </c>
      <c r="K2388" t="s">
        <v>23</v>
      </c>
      <c r="L2388" s="2">
        <v>1107548</v>
      </c>
      <c r="M2388" s="2">
        <v>27032</v>
      </c>
      <c r="N2388" s="2">
        <v>0</v>
      </c>
      <c r="O2388" s="2">
        <v>48137</v>
      </c>
      <c r="P2388" t="s">
        <v>24</v>
      </c>
      <c r="Q2388" t="s">
        <v>24</v>
      </c>
    </row>
    <row r="2389" spans="1:17" x14ac:dyDescent="0.25">
      <c r="A2389" t="s">
        <v>3772</v>
      </c>
      <c r="B2389" t="s">
        <v>3773</v>
      </c>
      <c r="C2389" s="1">
        <v>41275</v>
      </c>
      <c r="D2389" s="1">
        <v>41639</v>
      </c>
      <c r="E2389" t="s">
        <v>3774</v>
      </c>
      <c r="G2389" t="s">
        <v>3775</v>
      </c>
      <c r="H2389" t="s">
        <v>62</v>
      </c>
      <c r="I2389" t="str">
        <f>"44022"</f>
        <v>44022</v>
      </c>
      <c r="J2389" t="s">
        <v>22</v>
      </c>
      <c r="K2389" t="s">
        <v>23</v>
      </c>
      <c r="L2389" s="2">
        <v>1106987</v>
      </c>
      <c r="M2389" s="2">
        <v>72535</v>
      </c>
      <c r="N2389" s="2">
        <v>0</v>
      </c>
      <c r="O2389" s="2">
        <v>59437</v>
      </c>
      <c r="P2389" t="s">
        <v>24</v>
      </c>
      <c r="Q2389" t="s">
        <v>24</v>
      </c>
    </row>
    <row r="2390" spans="1:17" x14ac:dyDescent="0.25">
      <c r="A2390" t="s">
        <v>4457</v>
      </c>
      <c r="B2390" t="s">
        <v>4458</v>
      </c>
      <c r="C2390" s="1">
        <v>40909</v>
      </c>
      <c r="D2390" s="1">
        <v>41274</v>
      </c>
      <c r="E2390" t="s">
        <v>4459</v>
      </c>
      <c r="G2390" t="s">
        <v>4460</v>
      </c>
      <c r="H2390" t="s">
        <v>47</v>
      </c>
      <c r="I2390" t="str">
        <f>"48746"</f>
        <v>48746</v>
      </c>
      <c r="J2390" t="s">
        <v>22</v>
      </c>
      <c r="K2390" t="s">
        <v>23</v>
      </c>
      <c r="L2390" s="2">
        <v>1106245</v>
      </c>
      <c r="M2390" s="2">
        <v>510739</v>
      </c>
      <c r="N2390" s="2">
        <v>0</v>
      </c>
      <c r="O2390" s="2">
        <v>69966</v>
      </c>
      <c r="P2390" t="s">
        <v>24</v>
      </c>
      <c r="Q2390" t="s">
        <v>24</v>
      </c>
    </row>
    <row r="2391" spans="1:17" x14ac:dyDescent="0.25">
      <c r="A2391" t="s">
        <v>2185</v>
      </c>
      <c r="B2391" t="s">
        <v>2186</v>
      </c>
      <c r="C2391" s="1">
        <v>41275</v>
      </c>
      <c r="D2391" s="1">
        <v>41639</v>
      </c>
      <c r="E2391" t="s">
        <v>2187</v>
      </c>
      <c r="G2391" t="s">
        <v>1189</v>
      </c>
      <c r="H2391" t="s">
        <v>29</v>
      </c>
      <c r="I2391" t="str">
        <f>"60521"</f>
        <v>60521</v>
      </c>
      <c r="J2391" t="s">
        <v>22</v>
      </c>
      <c r="K2391" t="s">
        <v>23</v>
      </c>
      <c r="L2391" s="2">
        <v>1104697</v>
      </c>
      <c r="M2391" s="2">
        <v>213617</v>
      </c>
      <c r="N2391" s="2">
        <v>0</v>
      </c>
      <c r="O2391" s="2">
        <v>106254</v>
      </c>
      <c r="P2391" t="s">
        <v>24</v>
      </c>
      <c r="Q2391" t="s">
        <v>24</v>
      </c>
    </row>
    <row r="2392" spans="1:17" x14ac:dyDescent="0.25">
      <c r="A2392" t="s">
        <v>3017</v>
      </c>
      <c r="B2392" t="s">
        <v>3018</v>
      </c>
      <c r="C2392" s="1">
        <v>41275</v>
      </c>
      <c r="D2392" s="1">
        <v>41639</v>
      </c>
      <c r="E2392" t="s">
        <v>3019</v>
      </c>
      <c r="G2392" t="s">
        <v>3020</v>
      </c>
      <c r="H2392" t="s">
        <v>29</v>
      </c>
      <c r="I2392" t="str">
        <f>"62088"</f>
        <v>62088</v>
      </c>
      <c r="J2392" t="s">
        <v>63</v>
      </c>
      <c r="K2392" t="s">
        <v>64</v>
      </c>
      <c r="L2392" s="2">
        <v>1102880</v>
      </c>
      <c r="M2392" s="2">
        <v>455192</v>
      </c>
      <c r="N2392" s="2">
        <v>0</v>
      </c>
      <c r="O2392" s="2">
        <v>48261</v>
      </c>
      <c r="P2392" s="2">
        <v>28261</v>
      </c>
      <c r="Q2392" s="2">
        <v>0</v>
      </c>
    </row>
    <row r="2393" spans="1:17" x14ac:dyDescent="0.25">
      <c r="A2393" t="s">
        <v>7741</v>
      </c>
      <c r="B2393" t="s">
        <v>7742</v>
      </c>
      <c r="C2393" s="1">
        <v>40513</v>
      </c>
      <c r="D2393" s="1">
        <v>40877</v>
      </c>
      <c r="E2393" t="s">
        <v>7743</v>
      </c>
      <c r="G2393" t="s">
        <v>1625</v>
      </c>
      <c r="H2393" t="s">
        <v>42</v>
      </c>
      <c r="I2393" t="str">
        <f>"53045"</f>
        <v>53045</v>
      </c>
      <c r="J2393" t="s">
        <v>22</v>
      </c>
      <c r="K2393" t="s">
        <v>23</v>
      </c>
      <c r="L2393" s="2">
        <v>1102266</v>
      </c>
      <c r="M2393" s="2">
        <v>3070285</v>
      </c>
      <c r="N2393" s="2">
        <v>0</v>
      </c>
      <c r="O2393" s="2">
        <v>60696</v>
      </c>
      <c r="P2393" t="s">
        <v>24</v>
      </c>
      <c r="Q2393" t="s">
        <v>24</v>
      </c>
    </row>
    <row r="2394" spans="1:17" x14ac:dyDescent="0.25">
      <c r="A2394" t="s">
        <v>5283</v>
      </c>
      <c r="B2394" t="s">
        <v>5284</v>
      </c>
      <c r="C2394" s="1">
        <v>41275</v>
      </c>
      <c r="D2394" s="1">
        <v>41639</v>
      </c>
      <c r="E2394" t="s">
        <v>5285</v>
      </c>
      <c r="G2394" t="s">
        <v>940</v>
      </c>
      <c r="H2394" t="s">
        <v>42</v>
      </c>
      <c r="I2394" t="str">
        <f>"53027"</f>
        <v>53027</v>
      </c>
      <c r="J2394" t="s">
        <v>63</v>
      </c>
      <c r="K2394" t="s">
        <v>79</v>
      </c>
      <c r="L2394" s="2">
        <v>1100200</v>
      </c>
      <c r="M2394" s="2">
        <v>446442</v>
      </c>
      <c r="N2394" s="2">
        <v>0</v>
      </c>
      <c r="O2394" s="2">
        <v>417967</v>
      </c>
      <c r="P2394" s="2">
        <v>64</v>
      </c>
      <c r="Q2394" s="2">
        <v>0</v>
      </c>
    </row>
    <row r="2395" spans="1:17" x14ac:dyDescent="0.25">
      <c r="A2395" t="s">
        <v>786</v>
      </c>
      <c r="B2395" t="s">
        <v>787</v>
      </c>
      <c r="C2395" s="1">
        <v>41275</v>
      </c>
      <c r="D2395" s="1">
        <v>41639</v>
      </c>
      <c r="E2395" t="s">
        <v>788</v>
      </c>
      <c r="G2395" t="s">
        <v>751</v>
      </c>
      <c r="H2395" t="s">
        <v>62</v>
      </c>
      <c r="I2395" t="str">
        <f>"44144"</f>
        <v>44144</v>
      </c>
      <c r="J2395" t="s">
        <v>22</v>
      </c>
      <c r="K2395" t="s">
        <v>30</v>
      </c>
      <c r="L2395" s="2">
        <v>1100032</v>
      </c>
      <c r="M2395" s="2">
        <v>4856827</v>
      </c>
      <c r="N2395" s="2">
        <v>0</v>
      </c>
      <c r="O2395" s="2">
        <v>10739470</v>
      </c>
      <c r="P2395" t="s">
        <v>24</v>
      </c>
      <c r="Q2395" t="s">
        <v>24</v>
      </c>
    </row>
    <row r="2396" spans="1:17" x14ac:dyDescent="0.25">
      <c r="A2396" t="s">
        <v>2282</v>
      </c>
      <c r="B2396" t="s">
        <v>2283</v>
      </c>
      <c r="C2396" s="1">
        <v>41275</v>
      </c>
      <c r="D2396" s="1">
        <v>41639</v>
      </c>
      <c r="E2396" t="s">
        <v>2284</v>
      </c>
      <c r="G2396" t="s">
        <v>1066</v>
      </c>
      <c r="H2396" t="s">
        <v>29</v>
      </c>
      <c r="I2396" t="str">
        <f>"61938"</f>
        <v>61938</v>
      </c>
      <c r="J2396" t="s">
        <v>22</v>
      </c>
      <c r="K2396" t="s">
        <v>23</v>
      </c>
      <c r="L2396" s="2">
        <v>1098799</v>
      </c>
      <c r="M2396" s="2">
        <v>147341</v>
      </c>
      <c r="N2396" s="2">
        <v>0</v>
      </c>
      <c r="O2396" s="2">
        <v>80267</v>
      </c>
      <c r="P2396" t="s">
        <v>24</v>
      </c>
      <c r="Q2396" t="s">
        <v>24</v>
      </c>
    </row>
    <row r="2397" spans="1:17" x14ac:dyDescent="0.25">
      <c r="A2397" t="s">
        <v>3371</v>
      </c>
      <c r="B2397" t="s">
        <v>3372</v>
      </c>
      <c r="E2397" t="s">
        <v>3373</v>
      </c>
      <c r="F2397" t="s">
        <v>3374</v>
      </c>
      <c r="G2397" t="s">
        <v>1678</v>
      </c>
      <c r="H2397" t="s">
        <v>62</v>
      </c>
      <c r="I2397" t="str">
        <f>"44139"</f>
        <v>44139</v>
      </c>
      <c r="J2397" t="s">
        <v>22</v>
      </c>
      <c r="K2397" t="s">
        <v>30</v>
      </c>
      <c r="L2397" s="2">
        <v>1095831</v>
      </c>
      <c r="M2397" s="2">
        <v>2279621</v>
      </c>
      <c r="N2397" s="2">
        <v>0</v>
      </c>
      <c r="O2397" t="s">
        <v>24</v>
      </c>
      <c r="P2397" t="s">
        <v>24</v>
      </c>
      <c r="Q2397" t="s">
        <v>24</v>
      </c>
    </row>
    <row r="2398" spans="1:17" x14ac:dyDescent="0.25">
      <c r="A2398" t="s">
        <v>1899</v>
      </c>
      <c r="B2398" t="s">
        <v>1900</v>
      </c>
      <c r="C2398" s="1">
        <v>41275</v>
      </c>
      <c r="D2398" s="1">
        <v>41639</v>
      </c>
      <c r="E2398" t="s">
        <v>1901</v>
      </c>
      <c r="G2398" t="s">
        <v>143</v>
      </c>
      <c r="H2398" t="s">
        <v>47</v>
      </c>
      <c r="I2398" t="str">
        <f>"48206"</f>
        <v>48206</v>
      </c>
      <c r="J2398" t="s">
        <v>63</v>
      </c>
      <c r="K2398" t="s">
        <v>23</v>
      </c>
      <c r="L2398" s="2">
        <v>1095589</v>
      </c>
      <c r="M2398" s="2">
        <v>46019</v>
      </c>
      <c r="N2398" s="2">
        <v>0</v>
      </c>
      <c r="O2398" s="2">
        <v>63816</v>
      </c>
      <c r="P2398" s="2">
        <v>13816</v>
      </c>
      <c r="Q2398" s="2">
        <v>0</v>
      </c>
    </row>
    <row r="2399" spans="1:17" x14ac:dyDescent="0.25">
      <c r="A2399" t="s">
        <v>2289</v>
      </c>
      <c r="B2399" t="s">
        <v>2290</v>
      </c>
      <c r="C2399" s="1">
        <v>41275</v>
      </c>
      <c r="D2399" s="1">
        <v>41639</v>
      </c>
      <c r="E2399" t="s">
        <v>2291</v>
      </c>
      <c r="G2399" t="s">
        <v>337</v>
      </c>
      <c r="H2399" t="s">
        <v>62</v>
      </c>
      <c r="I2399" t="str">
        <f>"44113"</f>
        <v>44113</v>
      </c>
      <c r="J2399" t="s">
        <v>22</v>
      </c>
      <c r="K2399" t="s">
        <v>30</v>
      </c>
      <c r="L2399" s="2">
        <v>1095306</v>
      </c>
      <c r="M2399" s="2">
        <v>1995482</v>
      </c>
      <c r="N2399" s="2">
        <v>0</v>
      </c>
      <c r="O2399" s="2">
        <v>66739</v>
      </c>
      <c r="P2399" t="s">
        <v>24</v>
      </c>
      <c r="Q2399" t="s">
        <v>24</v>
      </c>
    </row>
    <row r="2400" spans="1:17" x14ac:dyDescent="0.25">
      <c r="A2400" t="s">
        <v>5733</v>
      </c>
      <c r="B2400" t="s">
        <v>5734</v>
      </c>
      <c r="C2400" s="1">
        <v>41275</v>
      </c>
      <c r="D2400" s="1">
        <v>41639</v>
      </c>
      <c r="E2400" t="s">
        <v>5735</v>
      </c>
      <c r="G2400" t="s">
        <v>5736</v>
      </c>
      <c r="H2400" t="s">
        <v>29</v>
      </c>
      <c r="I2400" t="str">
        <f>"60015"</f>
        <v>60015</v>
      </c>
      <c r="J2400" t="s">
        <v>22</v>
      </c>
      <c r="K2400" t="s">
        <v>23</v>
      </c>
      <c r="L2400" s="2">
        <v>1094975</v>
      </c>
      <c r="M2400" s="2">
        <v>864082</v>
      </c>
      <c r="N2400" s="2">
        <v>301</v>
      </c>
      <c r="O2400" s="2">
        <v>79798</v>
      </c>
      <c r="P2400" t="s">
        <v>24</v>
      </c>
      <c r="Q2400" t="s">
        <v>24</v>
      </c>
    </row>
    <row r="2401" spans="1:17" x14ac:dyDescent="0.25">
      <c r="A2401" t="s">
        <v>820</v>
      </c>
      <c r="B2401" t="s">
        <v>821</v>
      </c>
      <c r="C2401" s="1">
        <v>41275</v>
      </c>
      <c r="D2401" s="1">
        <v>41639</v>
      </c>
      <c r="E2401" t="s">
        <v>822</v>
      </c>
      <c r="G2401" t="s">
        <v>20</v>
      </c>
      <c r="H2401" t="s">
        <v>21</v>
      </c>
      <c r="I2401" t="str">
        <f>"46240"</f>
        <v>46240</v>
      </c>
      <c r="J2401" t="s">
        <v>22</v>
      </c>
      <c r="K2401" t="s">
        <v>23</v>
      </c>
      <c r="L2401" s="2">
        <v>1094727</v>
      </c>
      <c r="M2401" s="2">
        <v>2864638</v>
      </c>
      <c r="N2401" s="2">
        <v>0</v>
      </c>
      <c r="O2401" s="2">
        <v>84851</v>
      </c>
      <c r="P2401" t="s">
        <v>24</v>
      </c>
      <c r="Q2401" t="s">
        <v>24</v>
      </c>
    </row>
    <row r="2402" spans="1:17" x14ac:dyDescent="0.25">
      <c r="A2402" t="s">
        <v>4274</v>
      </c>
      <c r="B2402" t="s">
        <v>4275</v>
      </c>
      <c r="C2402" s="1">
        <v>41275</v>
      </c>
      <c r="D2402" s="1">
        <v>41639</v>
      </c>
      <c r="E2402" t="s">
        <v>4276</v>
      </c>
      <c r="G2402" t="s">
        <v>28</v>
      </c>
      <c r="H2402" t="s">
        <v>29</v>
      </c>
      <c r="I2402" t="str">
        <f>"60611"</f>
        <v>60611</v>
      </c>
      <c r="J2402" t="s">
        <v>22</v>
      </c>
      <c r="K2402" t="s">
        <v>91</v>
      </c>
      <c r="L2402" s="2">
        <v>1093920</v>
      </c>
      <c r="M2402" s="2">
        <v>1023681</v>
      </c>
      <c r="N2402" s="2">
        <v>0</v>
      </c>
      <c r="O2402" s="2">
        <v>2659</v>
      </c>
      <c r="P2402" t="s">
        <v>24</v>
      </c>
      <c r="Q2402" t="s">
        <v>24</v>
      </c>
    </row>
    <row r="2403" spans="1:17" x14ac:dyDescent="0.25">
      <c r="A2403" t="s">
        <v>628</v>
      </c>
      <c r="B2403" t="s">
        <v>629</v>
      </c>
      <c r="C2403" s="1">
        <v>40909</v>
      </c>
      <c r="D2403" s="1">
        <v>41274</v>
      </c>
      <c r="E2403" t="s">
        <v>40</v>
      </c>
      <c r="G2403" t="s">
        <v>41</v>
      </c>
      <c r="H2403" t="s">
        <v>42</v>
      </c>
      <c r="I2403" t="str">
        <f>"53201"</f>
        <v>53201</v>
      </c>
      <c r="J2403" t="s">
        <v>22</v>
      </c>
      <c r="K2403" t="s">
        <v>30</v>
      </c>
      <c r="L2403" s="2">
        <v>1092144</v>
      </c>
      <c r="M2403" s="2">
        <v>73712</v>
      </c>
      <c r="N2403" s="2">
        <v>0</v>
      </c>
      <c r="O2403" s="2">
        <v>76727</v>
      </c>
      <c r="P2403" t="s">
        <v>24</v>
      </c>
      <c r="Q2403" t="s">
        <v>24</v>
      </c>
    </row>
    <row r="2404" spans="1:17" x14ac:dyDescent="0.25">
      <c r="A2404" t="s">
        <v>1871</v>
      </c>
      <c r="B2404" t="s">
        <v>1872</v>
      </c>
      <c r="C2404" s="1">
        <v>41275</v>
      </c>
      <c r="D2404" s="1">
        <v>41639</v>
      </c>
      <c r="E2404" t="s">
        <v>1873</v>
      </c>
      <c r="G2404" t="s">
        <v>283</v>
      </c>
      <c r="H2404" t="s">
        <v>29</v>
      </c>
      <c r="I2404" t="str">
        <f>"60175"</f>
        <v>60175</v>
      </c>
      <c r="J2404" t="s">
        <v>22</v>
      </c>
      <c r="K2404" t="s">
        <v>23</v>
      </c>
      <c r="L2404" s="2">
        <v>1091176</v>
      </c>
      <c r="M2404" s="2">
        <v>405043</v>
      </c>
      <c r="N2404" s="2">
        <v>0</v>
      </c>
      <c r="O2404" s="2">
        <v>483330</v>
      </c>
      <c r="P2404" t="s">
        <v>24</v>
      </c>
      <c r="Q2404" t="s">
        <v>24</v>
      </c>
    </row>
    <row r="2405" spans="1:17" x14ac:dyDescent="0.25">
      <c r="A2405" t="s">
        <v>3021</v>
      </c>
      <c r="B2405" t="s">
        <v>3022</v>
      </c>
      <c r="C2405" s="1">
        <v>41456</v>
      </c>
      <c r="D2405" s="1">
        <v>41820</v>
      </c>
      <c r="E2405" t="s">
        <v>314</v>
      </c>
      <c r="G2405" t="s">
        <v>948</v>
      </c>
      <c r="H2405" t="s">
        <v>29</v>
      </c>
      <c r="I2405" t="str">
        <f>"61402"</f>
        <v>61402</v>
      </c>
      <c r="J2405" t="s">
        <v>22</v>
      </c>
      <c r="K2405" t="s">
        <v>23</v>
      </c>
      <c r="L2405" s="2">
        <v>1087903</v>
      </c>
      <c r="M2405" s="2">
        <v>147726</v>
      </c>
      <c r="N2405" s="2">
        <v>0</v>
      </c>
      <c r="O2405" s="2">
        <v>12244</v>
      </c>
      <c r="P2405" t="s">
        <v>24</v>
      </c>
      <c r="Q2405" t="s">
        <v>24</v>
      </c>
    </row>
    <row r="2406" spans="1:17" x14ac:dyDescent="0.25">
      <c r="A2406" t="s">
        <v>4743</v>
      </c>
      <c r="B2406" t="s">
        <v>4744</v>
      </c>
      <c r="C2406" s="1">
        <v>40909</v>
      </c>
      <c r="D2406" s="1">
        <v>41274</v>
      </c>
      <c r="E2406" t="s">
        <v>4745</v>
      </c>
      <c r="G2406" t="s">
        <v>28</v>
      </c>
      <c r="H2406" t="s">
        <v>29</v>
      </c>
      <c r="I2406" t="str">
        <f>"60611"</f>
        <v>60611</v>
      </c>
      <c r="J2406" t="s">
        <v>22</v>
      </c>
      <c r="K2406" t="s">
        <v>30</v>
      </c>
      <c r="L2406" s="2">
        <v>1087896</v>
      </c>
      <c r="M2406" s="2">
        <v>1746367</v>
      </c>
      <c r="N2406" s="2">
        <v>450000</v>
      </c>
      <c r="O2406" s="2">
        <v>180513</v>
      </c>
      <c r="P2406" t="s">
        <v>24</v>
      </c>
      <c r="Q2406" t="s">
        <v>24</v>
      </c>
    </row>
    <row r="2407" spans="1:17" x14ac:dyDescent="0.25">
      <c r="A2407" t="s">
        <v>148</v>
      </c>
      <c r="B2407" t="s">
        <v>149</v>
      </c>
      <c r="C2407" s="1">
        <v>41275</v>
      </c>
      <c r="D2407" s="1">
        <v>41639</v>
      </c>
      <c r="E2407" t="s">
        <v>150</v>
      </c>
      <c r="G2407" t="s">
        <v>41</v>
      </c>
      <c r="H2407" t="s">
        <v>42</v>
      </c>
      <c r="I2407" t="str">
        <f>"53217"</f>
        <v>53217</v>
      </c>
      <c r="J2407" t="s">
        <v>22</v>
      </c>
      <c r="K2407" t="s">
        <v>23</v>
      </c>
      <c r="L2407" s="2">
        <v>1084672</v>
      </c>
      <c r="M2407" s="2">
        <v>46401</v>
      </c>
      <c r="N2407" s="2">
        <v>0</v>
      </c>
      <c r="O2407" s="2">
        <v>66067</v>
      </c>
      <c r="P2407" t="s">
        <v>24</v>
      </c>
      <c r="Q2407" t="s">
        <v>24</v>
      </c>
    </row>
    <row r="2408" spans="1:17" x14ac:dyDescent="0.25">
      <c r="A2408" t="s">
        <v>5672</v>
      </c>
      <c r="B2408" t="s">
        <v>5673</v>
      </c>
      <c r="C2408" s="1">
        <v>41275</v>
      </c>
      <c r="D2408" s="1">
        <v>41639</v>
      </c>
      <c r="E2408" t="s">
        <v>5674</v>
      </c>
      <c r="G2408" t="s">
        <v>28</v>
      </c>
      <c r="H2408" t="s">
        <v>29</v>
      </c>
      <c r="I2408" t="str">
        <f>"60610"</f>
        <v>60610</v>
      </c>
      <c r="J2408" t="s">
        <v>22</v>
      </c>
      <c r="K2408" t="s">
        <v>23</v>
      </c>
      <c r="L2408" s="2">
        <v>1084413</v>
      </c>
      <c r="M2408" s="2">
        <v>137418</v>
      </c>
      <c r="N2408" s="2">
        <v>0</v>
      </c>
      <c r="O2408" s="2">
        <v>14675</v>
      </c>
      <c r="P2408" t="s">
        <v>24</v>
      </c>
      <c r="Q2408" t="s">
        <v>24</v>
      </c>
    </row>
    <row r="2409" spans="1:17" x14ac:dyDescent="0.25">
      <c r="A2409" t="s">
        <v>1359</v>
      </c>
      <c r="B2409" t="s">
        <v>1360</v>
      </c>
      <c r="C2409" s="1">
        <v>41091</v>
      </c>
      <c r="D2409" s="1">
        <v>41455</v>
      </c>
      <c r="E2409" t="s">
        <v>1361</v>
      </c>
      <c r="G2409" t="s">
        <v>1362</v>
      </c>
      <c r="H2409" t="s">
        <v>29</v>
      </c>
      <c r="I2409" t="str">
        <f>"60430"</f>
        <v>60430</v>
      </c>
      <c r="J2409" t="s">
        <v>22</v>
      </c>
      <c r="K2409" t="s">
        <v>30</v>
      </c>
      <c r="L2409" s="2">
        <v>1084171</v>
      </c>
      <c r="M2409" s="2">
        <v>526528</v>
      </c>
      <c r="N2409" s="2">
        <v>0</v>
      </c>
      <c r="O2409" s="2">
        <v>212829</v>
      </c>
      <c r="P2409" t="s">
        <v>24</v>
      </c>
      <c r="Q2409" t="s">
        <v>24</v>
      </c>
    </row>
    <row r="2410" spans="1:17" x14ac:dyDescent="0.25">
      <c r="A2410" t="s">
        <v>4448</v>
      </c>
      <c r="B2410" t="s">
        <v>4449</v>
      </c>
      <c r="C2410" s="1">
        <v>41487</v>
      </c>
      <c r="D2410" s="1">
        <v>41851</v>
      </c>
      <c r="E2410" t="s">
        <v>4450</v>
      </c>
      <c r="G2410" t="s">
        <v>865</v>
      </c>
      <c r="H2410" t="s">
        <v>29</v>
      </c>
      <c r="I2410" t="str">
        <f>"60035"</f>
        <v>60035</v>
      </c>
      <c r="J2410" t="s">
        <v>22</v>
      </c>
      <c r="K2410" t="s">
        <v>23</v>
      </c>
      <c r="L2410" s="2">
        <v>1083386</v>
      </c>
      <c r="M2410" s="2">
        <v>752955</v>
      </c>
      <c r="N2410" s="2">
        <v>921</v>
      </c>
      <c r="O2410" s="2">
        <v>111357</v>
      </c>
      <c r="P2410" t="s">
        <v>24</v>
      </c>
      <c r="Q2410" t="s">
        <v>24</v>
      </c>
    </row>
    <row r="2411" spans="1:17" x14ac:dyDescent="0.25">
      <c r="A2411" t="s">
        <v>3270</v>
      </c>
      <c r="B2411" t="s">
        <v>3271</v>
      </c>
      <c r="C2411" s="1">
        <v>40909</v>
      </c>
      <c r="D2411" s="1">
        <v>41274</v>
      </c>
      <c r="E2411" t="s">
        <v>3272</v>
      </c>
      <c r="G2411" t="s">
        <v>41</v>
      </c>
      <c r="H2411" t="s">
        <v>42</v>
      </c>
      <c r="I2411" t="str">
        <f>"53217"</f>
        <v>53217</v>
      </c>
      <c r="J2411" t="s">
        <v>22</v>
      </c>
      <c r="K2411" t="s">
        <v>30</v>
      </c>
      <c r="L2411" s="2">
        <v>1080586</v>
      </c>
      <c r="M2411" s="2">
        <v>47853</v>
      </c>
      <c r="N2411" s="2">
        <v>61</v>
      </c>
      <c r="O2411" s="2">
        <v>64305</v>
      </c>
      <c r="P2411" t="s">
        <v>24</v>
      </c>
      <c r="Q2411" t="s">
        <v>24</v>
      </c>
    </row>
    <row r="2412" spans="1:17" x14ac:dyDescent="0.25">
      <c r="A2412" t="s">
        <v>2638</v>
      </c>
      <c r="B2412" t="s">
        <v>2639</v>
      </c>
      <c r="C2412" s="1">
        <v>41395</v>
      </c>
      <c r="D2412" s="1">
        <v>41759</v>
      </c>
      <c r="E2412" t="s">
        <v>104</v>
      </c>
      <c r="G2412" t="s">
        <v>28</v>
      </c>
      <c r="H2412" t="s">
        <v>29</v>
      </c>
      <c r="I2412" t="str">
        <f>"60680"</f>
        <v>60680</v>
      </c>
      <c r="J2412" t="s">
        <v>22</v>
      </c>
      <c r="K2412" t="s">
        <v>30</v>
      </c>
      <c r="L2412" s="2">
        <v>1079638</v>
      </c>
      <c r="M2412" s="2">
        <v>1072432</v>
      </c>
      <c r="N2412" s="2">
        <v>0</v>
      </c>
      <c r="O2412" s="2">
        <v>879824</v>
      </c>
      <c r="P2412" t="s">
        <v>24</v>
      </c>
      <c r="Q2412" t="s">
        <v>24</v>
      </c>
    </row>
    <row r="2413" spans="1:17" x14ac:dyDescent="0.25">
      <c r="A2413" t="s">
        <v>3918</v>
      </c>
      <c r="B2413" t="s">
        <v>3919</v>
      </c>
      <c r="C2413" s="1">
        <v>41275</v>
      </c>
      <c r="D2413" s="1">
        <v>41639</v>
      </c>
      <c r="E2413" t="s">
        <v>3920</v>
      </c>
      <c r="G2413" t="s">
        <v>77</v>
      </c>
      <c r="H2413" t="s">
        <v>78</v>
      </c>
      <c r="I2413" t="str">
        <f>"40206"</f>
        <v>40206</v>
      </c>
      <c r="J2413" t="s">
        <v>22</v>
      </c>
      <c r="K2413" t="s">
        <v>23</v>
      </c>
      <c r="L2413" s="2">
        <v>1077213</v>
      </c>
      <c r="M2413" s="2">
        <v>127453</v>
      </c>
      <c r="N2413" s="2">
        <v>0</v>
      </c>
      <c r="O2413" s="2">
        <v>77450</v>
      </c>
      <c r="P2413" t="s">
        <v>24</v>
      </c>
      <c r="Q2413" t="s">
        <v>24</v>
      </c>
    </row>
    <row r="2414" spans="1:17" x14ac:dyDescent="0.25">
      <c r="A2414" t="s">
        <v>4754</v>
      </c>
      <c r="B2414" t="s">
        <v>4755</v>
      </c>
      <c r="C2414" s="1">
        <v>41275</v>
      </c>
      <c r="D2414" s="1">
        <v>41639</v>
      </c>
      <c r="E2414" t="s">
        <v>4756</v>
      </c>
      <c r="G2414" t="s">
        <v>4757</v>
      </c>
      <c r="H2414" t="s">
        <v>62</v>
      </c>
      <c r="I2414" t="str">
        <f>"44256"</f>
        <v>44256</v>
      </c>
      <c r="J2414" t="s">
        <v>22</v>
      </c>
      <c r="K2414" t="s">
        <v>91</v>
      </c>
      <c r="L2414" s="2">
        <v>1076605</v>
      </c>
      <c r="M2414" s="2">
        <v>270618</v>
      </c>
      <c r="N2414" s="2">
        <v>0</v>
      </c>
      <c r="O2414" s="2">
        <v>30607</v>
      </c>
      <c r="P2414" t="s">
        <v>24</v>
      </c>
      <c r="Q2414" t="s">
        <v>24</v>
      </c>
    </row>
    <row r="2415" spans="1:17" x14ac:dyDescent="0.25">
      <c r="A2415" t="s">
        <v>846</v>
      </c>
      <c r="B2415" t="s">
        <v>847</v>
      </c>
      <c r="C2415" s="1">
        <v>41579</v>
      </c>
      <c r="D2415" s="1">
        <v>41943</v>
      </c>
      <c r="E2415" t="s">
        <v>848</v>
      </c>
      <c r="G2415" t="s">
        <v>28</v>
      </c>
      <c r="H2415" t="s">
        <v>29</v>
      </c>
      <c r="I2415" t="str">
        <f>"60603"</f>
        <v>60603</v>
      </c>
      <c r="J2415" t="s">
        <v>22</v>
      </c>
      <c r="K2415" t="s">
        <v>30</v>
      </c>
      <c r="L2415" s="2">
        <v>1076567</v>
      </c>
      <c r="M2415" s="2">
        <v>87764</v>
      </c>
      <c r="N2415" s="2">
        <v>0</v>
      </c>
      <c r="O2415" s="2">
        <v>60196</v>
      </c>
      <c r="P2415" t="s">
        <v>24</v>
      </c>
      <c r="Q2415" t="s">
        <v>24</v>
      </c>
    </row>
    <row r="2416" spans="1:17" x14ac:dyDescent="0.25">
      <c r="A2416" t="s">
        <v>4121</v>
      </c>
      <c r="B2416" t="s">
        <v>4122</v>
      </c>
      <c r="C2416" s="1">
        <v>41275</v>
      </c>
      <c r="D2416" s="1">
        <v>41639</v>
      </c>
      <c r="E2416" t="s">
        <v>4123</v>
      </c>
      <c r="G2416" t="s">
        <v>2223</v>
      </c>
      <c r="H2416" t="s">
        <v>47</v>
      </c>
      <c r="I2416" t="str">
        <f>"48334"</f>
        <v>48334</v>
      </c>
      <c r="J2416" t="s">
        <v>22</v>
      </c>
      <c r="K2416" t="s">
        <v>23</v>
      </c>
      <c r="L2416" s="2">
        <v>1074012</v>
      </c>
      <c r="M2416" s="2">
        <v>131256</v>
      </c>
      <c r="N2416" s="2">
        <v>0</v>
      </c>
      <c r="O2416" s="2">
        <v>73711</v>
      </c>
      <c r="P2416" t="s">
        <v>24</v>
      </c>
      <c r="Q2416" t="s">
        <v>24</v>
      </c>
    </row>
    <row r="2417" spans="1:17" x14ac:dyDescent="0.25">
      <c r="A2417" t="s">
        <v>5811</v>
      </c>
      <c r="B2417" t="s">
        <v>5812</v>
      </c>
      <c r="C2417" s="1">
        <v>41275</v>
      </c>
      <c r="D2417" s="1">
        <v>41639</v>
      </c>
      <c r="E2417" t="s">
        <v>5813</v>
      </c>
      <c r="G2417" t="s">
        <v>5814</v>
      </c>
      <c r="H2417" t="s">
        <v>47</v>
      </c>
      <c r="I2417" t="str">
        <f>"48081"</f>
        <v>48081</v>
      </c>
      <c r="J2417" t="s">
        <v>22</v>
      </c>
      <c r="K2417" t="s">
        <v>23</v>
      </c>
      <c r="L2417" s="2">
        <v>1071659</v>
      </c>
      <c r="M2417" s="2">
        <v>2212860</v>
      </c>
      <c r="N2417" s="2">
        <v>0</v>
      </c>
      <c r="O2417" s="2">
        <v>1474404</v>
      </c>
      <c r="P2417" t="s">
        <v>24</v>
      </c>
      <c r="Q2417" t="s">
        <v>24</v>
      </c>
    </row>
    <row r="2418" spans="1:17" x14ac:dyDescent="0.25">
      <c r="A2418" t="s">
        <v>528</v>
      </c>
      <c r="B2418" t="s">
        <v>529</v>
      </c>
      <c r="C2418" s="1">
        <v>41275</v>
      </c>
      <c r="D2418" s="1">
        <v>41639</v>
      </c>
      <c r="E2418" t="s">
        <v>530</v>
      </c>
      <c r="G2418" t="s">
        <v>531</v>
      </c>
      <c r="H2418" t="s">
        <v>62</v>
      </c>
      <c r="I2418" t="str">
        <f>"44118"</f>
        <v>44118</v>
      </c>
      <c r="J2418" t="s">
        <v>22</v>
      </c>
      <c r="K2418" t="s">
        <v>30</v>
      </c>
      <c r="L2418" s="2">
        <v>1070036</v>
      </c>
      <c r="M2418" s="2">
        <v>439304</v>
      </c>
      <c r="N2418" s="2">
        <v>0</v>
      </c>
      <c r="O2418" s="2">
        <v>66094</v>
      </c>
      <c r="P2418" t="s">
        <v>24</v>
      </c>
      <c r="Q2418" t="s">
        <v>24</v>
      </c>
    </row>
    <row r="2419" spans="1:17" x14ac:dyDescent="0.25">
      <c r="A2419" t="s">
        <v>1079</v>
      </c>
      <c r="B2419" t="s">
        <v>1080</v>
      </c>
      <c r="E2419" t="s">
        <v>1081</v>
      </c>
      <c r="G2419" t="s">
        <v>865</v>
      </c>
      <c r="H2419" t="s">
        <v>29</v>
      </c>
      <c r="I2419" t="str">
        <f>"60035"</f>
        <v>60035</v>
      </c>
      <c r="J2419" t="s">
        <v>22</v>
      </c>
      <c r="K2419" t="s">
        <v>23</v>
      </c>
      <c r="L2419" s="2">
        <v>1069121</v>
      </c>
      <c r="M2419" s="2">
        <v>450352</v>
      </c>
      <c r="N2419" s="2">
        <v>0</v>
      </c>
      <c r="O2419" t="s">
        <v>24</v>
      </c>
      <c r="P2419" t="s">
        <v>24</v>
      </c>
      <c r="Q2419" t="s">
        <v>24</v>
      </c>
    </row>
    <row r="2420" spans="1:17" x14ac:dyDescent="0.25">
      <c r="A2420" t="s">
        <v>2933</v>
      </c>
      <c r="B2420" t="s">
        <v>2934</v>
      </c>
      <c r="C2420" s="1">
        <v>41275</v>
      </c>
      <c r="D2420" s="1">
        <v>41639</v>
      </c>
      <c r="E2420" t="s">
        <v>2935</v>
      </c>
      <c r="G2420" t="s">
        <v>1028</v>
      </c>
      <c r="H2420" t="s">
        <v>47</v>
      </c>
      <c r="I2420" t="str">
        <f>"48107"</f>
        <v>48107</v>
      </c>
      <c r="J2420" t="s">
        <v>63</v>
      </c>
      <c r="K2420" t="s">
        <v>2936</v>
      </c>
      <c r="L2420" s="2">
        <v>1068738</v>
      </c>
      <c r="M2420" s="2">
        <v>454583</v>
      </c>
      <c r="N2420" s="2">
        <v>23592</v>
      </c>
      <c r="O2420" s="2">
        <v>537304</v>
      </c>
      <c r="P2420" s="2">
        <v>187897</v>
      </c>
      <c r="Q2420" s="2">
        <v>124589</v>
      </c>
    </row>
    <row r="2421" spans="1:17" x14ac:dyDescent="0.25">
      <c r="A2421" t="s">
        <v>5422</v>
      </c>
      <c r="B2421" t="s">
        <v>5423</v>
      </c>
      <c r="C2421" s="1">
        <v>41275</v>
      </c>
      <c r="D2421" s="1">
        <v>41639</v>
      </c>
      <c r="E2421" t="s">
        <v>3233</v>
      </c>
      <c r="G2421" t="s">
        <v>3234</v>
      </c>
      <c r="H2421" t="s">
        <v>29</v>
      </c>
      <c r="I2421" t="str">
        <f>"62837"</f>
        <v>62837</v>
      </c>
      <c r="J2421" t="s">
        <v>22</v>
      </c>
      <c r="K2421" t="s">
        <v>23</v>
      </c>
      <c r="L2421" s="2">
        <v>1067476</v>
      </c>
      <c r="M2421" s="2">
        <v>45195</v>
      </c>
      <c r="N2421" s="2">
        <v>0</v>
      </c>
      <c r="O2421" s="2">
        <v>47043</v>
      </c>
      <c r="P2421" t="s">
        <v>24</v>
      </c>
      <c r="Q2421" t="s">
        <v>24</v>
      </c>
    </row>
    <row r="2422" spans="1:17" x14ac:dyDescent="0.25">
      <c r="A2422" t="s">
        <v>5047</v>
      </c>
      <c r="B2422" t="s">
        <v>5048</v>
      </c>
      <c r="C2422" s="1">
        <v>41275</v>
      </c>
      <c r="D2422" s="1">
        <v>41639</v>
      </c>
      <c r="E2422" t="s">
        <v>1888</v>
      </c>
      <c r="G2422" t="s">
        <v>28</v>
      </c>
      <c r="H2422" t="s">
        <v>29</v>
      </c>
      <c r="I2422" t="str">
        <f>"60601"</f>
        <v>60601</v>
      </c>
      <c r="J2422" t="s">
        <v>22</v>
      </c>
      <c r="K2422" t="s">
        <v>23</v>
      </c>
      <c r="L2422" s="2">
        <v>1067339</v>
      </c>
      <c r="M2422" s="2">
        <v>244546</v>
      </c>
      <c r="N2422" s="2">
        <v>0</v>
      </c>
      <c r="O2422" s="2">
        <v>64970</v>
      </c>
      <c r="P2422" t="s">
        <v>24</v>
      </c>
      <c r="Q2422" t="s">
        <v>24</v>
      </c>
    </row>
    <row r="2423" spans="1:17" x14ac:dyDescent="0.25">
      <c r="A2423" t="s">
        <v>3325</v>
      </c>
      <c r="B2423" t="s">
        <v>3326</v>
      </c>
      <c r="C2423" s="1">
        <v>41275</v>
      </c>
      <c r="D2423" s="1">
        <v>41639</v>
      </c>
      <c r="E2423" t="s">
        <v>3327</v>
      </c>
      <c r="G2423" t="s">
        <v>1965</v>
      </c>
      <c r="H2423" t="s">
        <v>21</v>
      </c>
      <c r="I2423" t="str">
        <f>"46563"</f>
        <v>46563</v>
      </c>
      <c r="J2423" t="s">
        <v>22</v>
      </c>
      <c r="K2423" t="s">
        <v>30</v>
      </c>
      <c r="L2423" s="2">
        <v>1066767</v>
      </c>
      <c r="M2423" s="2">
        <v>280049</v>
      </c>
      <c r="N2423" s="2">
        <v>0</v>
      </c>
      <c r="O2423" s="2">
        <v>277921</v>
      </c>
      <c r="P2423" t="s">
        <v>24</v>
      </c>
      <c r="Q2423" t="s">
        <v>24</v>
      </c>
    </row>
    <row r="2424" spans="1:17" x14ac:dyDescent="0.25">
      <c r="A2424" t="s">
        <v>2395</v>
      </c>
      <c r="B2424" t="s">
        <v>2396</v>
      </c>
      <c r="C2424" s="1">
        <v>41275</v>
      </c>
      <c r="D2424" s="1">
        <v>41639</v>
      </c>
      <c r="E2424" t="s">
        <v>104</v>
      </c>
      <c r="G2424" t="s">
        <v>28</v>
      </c>
      <c r="H2424" t="s">
        <v>29</v>
      </c>
      <c r="I2424" t="str">
        <f>"60680"</f>
        <v>60680</v>
      </c>
      <c r="J2424" t="s">
        <v>22</v>
      </c>
      <c r="K2424" t="s">
        <v>23</v>
      </c>
      <c r="L2424" s="2">
        <v>1065895</v>
      </c>
      <c r="M2424" s="2">
        <v>455019</v>
      </c>
      <c r="N2424" s="2">
        <v>0</v>
      </c>
      <c r="O2424" s="2">
        <v>64885</v>
      </c>
      <c r="P2424" t="s">
        <v>24</v>
      </c>
      <c r="Q2424" t="s">
        <v>24</v>
      </c>
    </row>
    <row r="2425" spans="1:17" x14ac:dyDescent="0.25">
      <c r="A2425" t="s">
        <v>6204</v>
      </c>
      <c r="B2425" t="s">
        <v>6205</v>
      </c>
      <c r="C2425" s="1">
        <v>41275</v>
      </c>
      <c r="D2425" s="1">
        <v>41639</v>
      </c>
      <c r="E2425" t="s">
        <v>6206</v>
      </c>
      <c r="G2425" t="s">
        <v>6207</v>
      </c>
      <c r="H2425" t="s">
        <v>47</v>
      </c>
      <c r="I2425" t="str">
        <f>"48390"</f>
        <v>48390</v>
      </c>
      <c r="J2425" t="s">
        <v>22</v>
      </c>
      <c r="K2425" t="s">
        <v>23</v>
      </c>
      <c r="L2425" s="2">
        <v>1064812</v>
      </c>
      <c r="M2425" s="2">
        <v>2252195</v>
      </c>
      <c r="N2425" s="2">
        <v>0</v>
      </c>
      <c r="O2425" s="2">
        <v>63798</v>
      </c>
      <c r="P2425" t="s">
        <v>24</v>
      </c>
      <c r="Q2425" t="s">
        <v>24</v>
      </c>
    </row>
    <row r="2426" spans="1:17" x14ac:dyDescent="0.25">
      <c r="A2426" t="s">
        <v>2590</v>
      </c>
      <c r="B2426" t="s">
        <v>2591</v>
      </c>
      <c r="C2426" s="1">
        <v>41275</v>
      </c>
      <c r="D2426" s="1">
        <v>41639</v>
      </c>
      <c r="E2426" t="s">
        <v>2592</v>
      </c>
      <c r="G2426" t="s">
        <v>28</v>
      </c>
      <c r="H2426" t="s">
        <v>29</v>
      </c>
      <c r="I2426" t="str">
        <f>"60613"</f>
        <v>60613</v>
      </c>
      <c r="J2426" t="s">
        <v>22</v>
      </c>
      <c r="K2426" t="s">
        <v>23</v>
      </c>
      <c r="L2426" s="2">
        <v>1064493</v>
      </c>
      <c r="M2426" s="2">
        <v>1532474</v>
      </c>
      <c r="N2426" s="2">
        <v>0</v>
      </c>
      <c r="O2426" s="2">
        <v>46132</v>
      </c>
      <c r="P2426" t="s">
        <v>24</v>
      </c>
      <c r="Q2426" t="s">
        <v>24</v>
      </c>
    </row>
    <row r="2427" spans="1:17" x14ac:dyDescent="0.25">
      <c r="A2427" t="s">
        <v>51</v>
      </c>
      <c r="B2427" t="s">
        <v>52</v>
      </c>
      <c r="C2427" s="1">
        <v>41579</v>
      </c>
      <c r="D2427" s="1">
        <v>41943</v>
      </c>
      <c r="E2427" t="s">
        <v>53</v>
      </c>
      <c r="G2427" t="s">
        <v>28</v>
      </c>
      <c r="H2427" t="s">
        <v>29</v>
      </c>
      <c r="I2427" t="str">
        <f>"60603"</f>
        <v>60603</v>
      </c>
      <c r="J2427" t="s">
        <v>22</v>
      </c>
      <c r="K2427" t="s">
        <v>30</v>
      </c>
      <c r="L2427" s="2">
        <v>1063403</v>
      </c>
      <c r="M2427" s="2">
        <v>404336</v>
      </c>
      <c r="N2427" s="2">
        <v>0</v>
      </c>
      <c r="O2427" s="2">
        <v>54961</v>
      </c>
      <c r="P2427" t="s">
        <v>24</v>
      </c>
      <c r="Q2427" t="s">
        <v>24</v>
      </c>
    </row>
    <row r="2428" spans="1:17" x14ac:dyDescent="0.25">
      <c r="A2428" t="s">
        <v>660</v>
      </c>
      <c r="B2428" t="s">
        <v>661</v>
      </c>
      <c r="C2428" s="1">
        <v>41275</v>
      </c>
      <c r="D2428" s="1">
        <v>41639</v>
      </c>
      <c r="E2428" t="s">
        <v>662</v>
      </c>
      <c r="G2428" t="s">
        <v>663</v>
      </c>
      <c r="H2428" t="s">
        <v>42</v>
      </c>
      <c r="I2428" t="str">
        <f>"53147"</f>
        <v>53147</v>
      </c>
      <c r="J2428" t="s">
        <v>22</v>
      </c>
      <c r="K2428" t="s">
        <v>23</v>
      </c>
      <c r="L2428" s="2">
        <v>1063347</v>
      </c>
      <c r="M2428" s="2">
        <v>344544</v>
      </c>
      <c r="N2428" s="2">
        <v>0</v>
      </c>
      <c r="O2428" s="2">
        <v>55977</v>
      </c>
      <c r="P2428" t="s">
        <v>24</v>
      </c>
      <c r="Q2428" t="s">
        <v>24</v>
      </c>
    </row>
    <row r="2429" spans="1:17" x14ac:dyDescent="0.25">
      <c r="A2429" t="s">
        <v>6700</v>
      </c>
      <c r="B2429" t="s">
        <v>6701</v>
      </c>
      <c r="C2429" s="1">
        <v>41275</v>
      </c>
      <c r="D2429" s="1">
        <v>41639</v>
      </c>
      <c r="E2429" t="s">
        <v>6702</v>
      </c>
      <c r="G2429" t="s">
        <v>6703</v>
      </c>
      <c r="H2429" t="s">
        <v>62</v>
      </c>
      <c r="I2429" t="str">
        <f>"44428"</f>
        <v>44428</v>
      </c>
      <c r="J2429" t="s">
        <v>22</v>
      </c>
      <c r="K2429" t="s">
        <v>23</v>
      </c>
      <c r="L2429" s="2">
        <v>1062116</v>
      </c>
      <c r="M2429" s="2">
        <v>1459040</v>
      </c>
      <c r="N2429" s="2">
        <v>0</v>
      </c>
      <c r="O2429" s="2">
        <v>87876</v>
      </c>
      <c r="P2429" t="s">
        <v>24</v>
      </c>
      <c r="Q2429" t="s">
        <v>24</v>
      </c>
    </row>
    <row r="2430" spans="1:17" x14ac:dyDescent="0.25">
      <c r="A2430" t="s">
        <v>3556</v>
      </c>
      <c r="B2430" t="s">
        <v>3557</v>
      </c>
      <c r="C2430" s="1">
        <v>41275</v>
      </c>
      <c r="D2430" s="1">
        <v>41639</v>
      </c>
      <c r="E2430" t="s">
        <v>3558</v>
      </c>
      <c r="G2430" t="s">
        <v>1054</v>
      </c>
      <c r="H2430" t="s">
        <v>47</v>
      </c>
      <c r="I2430" t="str">
        <f>"48322"</f>
        <v>48322</v>
      </c>
      <c r="J2430" t="s">
        <v>22</v>
      </c>
      <c r="K2430" t="s">
        <v>23</v>
      </c>
      <c r="L2430" s="2">
        <v>1061437</v>
      </c>
      <c r="M2430" s="2">
        <v>1106424</v>
      </c>
      <c r="N2430" s="2">
        <v>0</v>
      </c>
      <c r="O2430" s="2">
        <v>93256</v>
      </c>
      <c r="P2430" t="s">
        <v>24</v>
      </c>
      <c r="Q2430" t="s">
        <v>24</v>
      </c>
    </row>
    <row r="2431" spans="1:17" x14ac:dyDescent="0.25">
      <c r="A2431" t="s">
        <v>4798</v>
      </c>
      <c r="B2431" t="s">
        <v>4799</v>
      </c>
      <c r="C2431" s="1">
        <v>41275</v>
      </c>
      <c r="D2431" s="1">
        <v>41639</v>
      </c>
      <c r="E2431" t="s">
        <v>4800</v>
      </c>
      <c r="G2431" t="s">
        <v>215</v>
      </c>
      <c r="H2431" t="s">
        <v>42</v>
      </c>
      <c r="I2431" t="str">
        <f>"53511"</f>
        <v>53511</v>
      </c>
      <c r="J2431" t="s">
        <v>22</v>
      </c>
      <c r="K2431" t="s">
        <v>30</v>
      </c>
      <c r="L2431" s="2">
        <v>1060055</v>
      </c>
      <c r="M2431" s="2">
        <v>31580</v>
      </c>
      <c r="N2431" s="2">
        <v>0</v>
      </c>
      <c r="O2431" s="2">
        <v>47155</v>
      </c>
      <c r="P2431" t="s">
        <v>24</v>
      </c>
      <c r="Q2431" t="s">
        <v>24</v>
      </c>
    </row>
    <row r="2432" spans="1:17" x14ac:dyDescent="0.25">
      <c r="A2432" t="s">
        <v>3952</v>
      </c>
      <c r="B2432" t="s">
        <v>3953</v>
      </c>
      <c r="C2432" s="1">
        <v>41275</v>
      </c>
      <c r="D2432" s="1">
        <v>41639</v>
      </c>
      <c r="E2432" t="s">
        <v>3954</v>
      </c>
      <c r="G2432" t="s">
        <v>3955</v>
      </c>
      <c r="H2432" t="s">
        <v>62</v>
      </c>
      <c r="I2432" t="str">
        <f>"44680"</f>
        <v>44680</v>
      </c>
      <c r="J2432" t="s">
        <v>22</v>
      </c>
      <c r="K2432" t="s">
        <v>30</v>
      </c>
      <c r="L2432" s="2">
        <v>1059738</v>
      </c>
      <c r="M2432" s="2">
        <v>875777</v>
      </c>
      <c r="N2432" s="2">
        <v>0</v>
      </c>
      <c r="O2432" s="2">
        <v>50337</v>
      </c>
      <c r="P2432" t="s">
        <v>24</v>
      </c>
      <c r="Q2432" t="s">
        <v>24</v>
      </c>
    </row>
    <row r="2433" spans="1:17" x14ac:dyDescent="0.25">
      <c r="A2433" t="s">
        <v>493</v>
      </c>
      <c r="B2433" t="s">
        <v>494</v>
      </c>
      <c r="E2433" t="s">
        <v>495</v>
      </c>
      <c r="G2433" t="s">
        <v>28</v>
      </c>
      <c r="H2433" t="s">
        <v>29</v>
      </c>
      <c r="I2433" t="str">
        <f>"60603"</f>
        <v>60603</v>
      </c>
      <c r="J2433" t="s">
        <v>22</v>
      </c>
      <c r="K2433" t="s">
        <v>30</v>
      </c>
      <c r="L2433" s="2">
        <v>1059665</v>
      </c>
      <c r="M2433" s="2">
        <v>2105477</v>
      </c>
      <c r="N2433" s="2">
        <v>0</v>
      </c>
      <c r="O2433" t="s">
        <v>24</v>
      </c>
      <c r="P2433" t="s">
        <v>24</v>
      </c>
      <c r="Q2433" t="s">
        <v>24</v>
      </c>
    </row>
    <row r="2434" spans="1:17" x14ac:dyDescent="0.25">
      <c r="A2434" t="s">
        <v>3743</v>
      </c>
      <c r="B2434" t="s">
        <v>3744</v>
      </c>
      <c r="C2434" s="1">
        <v>41275</v>
      </c>
      <c r="D2434" s="1">
        <v>41639</v>
      </c>
      <c r="E2434" t="s">
        <v>3745</v>
      </c>
      <c r="G2434" t="s">
        <v>191</v>
      </c>
      <c r="H2434" t="s">
        <v>47</v>
      </c>
      <c r="I2434" t="str">
        <f>"48188"</f>
        <v>48188</v>
      </c>
      <c r="J2434" t="s">
        <v>22</v>
      </c>
      <c r="K2434" t="s">
        <v>23</v>
      </c>
      <c r="L2434" s="2">
        <v>1059581</v>
      </c>
      <c r="M2434" s="2">
        <v>24991976</v>
      </c>
      <c r="N2434" s="2">
        <v>0</v>
      </c>
      <c r="O2434" s="2">
        <v>28637</v>
      </c>
      <c r="P2434" t="s">
        <v>24</v>
      </c>
      <c r="Q2434" t="s">
        <v>24</v>
      </c>
    </row>
    <row r="2435" spans="1:17" x14ac:dyDescent="0.25">
      <c r="A2435" t="s">
        <v>5179</v>
      </c>
      <c r="B2435" t="s">
        <v>5180</v>
      </c>
      <c r="C2435" s="1">
        <v>41275</v>
      </c>
      <c r="D2435" s="1">
        <v>41639</v>
      </c>
      <c r="E2435" t="s">
        <v>5181</v>
      </c>
      <c r="G2435" t="s">
        <v>5182</v>
      </c>
      <c r="H2435" t="s">
        <v>29</v>
      </c>
      <c r="I2435" t="str">
        <f>"60107"</f>
        <v>60107</v>
      </c>
      <c r="J2435" t="s">
        <v>22</v>
      </c>
      <c r="K2435" t="s">
        <v>91</v>
      </c>
      <c r="L2435" s="2">
        <v>1059186</v>
      </c>
      <c r="M2435" s="2">
        <v>1988902</v>
      </c>
      <c r="N2435" s="2">
        <v>0</v>
      </c>
      <c r="O2435" s="2">
        <v>190282</v>
      </c>
      <c r="P2435" t="s">
        <v>24</v>
      </c>
      <c r="Q2435" t="s">
        <v>24</v>
      </c>
    </row>
    <row r="2436" spans="1:17" x14ac:dyDescent="0.25">
      <c r="A2436" t="s">
        <v>5321</v>
      </c>
      <c r="B2436" t="s">
        <v>5322</v>
      </c>
      <c r="C2436" s="1">
        <v>41275</v>
      </c>
      <c r="D2436" s="1">
        <v>41639</v>
      </c>
      <c r="E2436" t="s">
        <v>5323</v>
      </c>
      <c r="G2436" t="s">
        <v>768</v>
      </c>
      <c r="H2436" t="s">
        <v>62</v>
      </c>
      <c r="I2436" t="str">
        <f>"44122"</f>
        <v>44122</v>
      </c>
      <c r="J2436" t="s">
        <v>22</v>
      </c>
      <c r="K2436" t="s">
        <v>30</v>
      </c>
      <c r="L2436" s="2">
        <v>1057166</v>
      </c>
      <c r="M2436" s="2">
        <v>265798</v>
      </c>
      <c r="N2436" s="2">
        <v>0</v>
      </c>
      <c r="O2436" s="2">
        <v>67297</v>
      </c>
      <c r="P2436" t="s">
        <v>24</v>
      </c>
      <c r="Q2436" t="s">
        <v>24</v>
      </c>
    </row>
    <row r="2437" spans="1:17" x14ac:dyDescent="0.25">
      <c r="A2437" t="s">
        <v>1696</v>
      </c>
      <c r="B2437" t="s">
        <v>1697</v>
      </c>
      <c r="C2437" s="1">
        <v>41089</v>
      </c>
      <c r="D2437" s="1">
        <v>41274</v>
      </c>
      <c r="E2437" t="s">
        <v>1698</v>
      </c>
      <c r="G2437" t="s">
        <v>1699</v>
      </c>
      <c r="H2437" t="s">
        <v>62</v>
      </c>
      <c r="I2437" t="str">
        <f>"43140"</f>
        <v>43140</v>
      </c>
      <c r="J2437" t="s">
        <v>22</v>
      </c>
      <c r="K2437" t="s">
        <v>30</v>
      </c>
      <c r="L2437" s="2">
        <v>1056785</v>
      </c>
      <c r="M2437" s="2">
        <v>144064</v>
      </c>
      <c r="N2437" s="2">
        <v>0</v>
      </c>
      <c r="O2437" s="2">
        <v>7448</v>
      </c>
      <c r="P2437" t="s">
        <v>24</v>
      </c>
      <c r="Q2437" t="s">
        <v>24</v>
      </c>
    </row>
    <row r="2438" spans="1:17" x14ac:dyDescent="0.25">
      <c r="A2438" t="s">
        <v>4769</v>
      </c>
      <c r="B2438" t="s">
        <v>4770</v>
      </c>
      <c r="C2438" s="1">
        <v>41456</v>
      </c>
      <c r="D2438" s="1">
        <v>41820</v>
      </c>
      <c r="E2438" t="s">
        <v>4771</v>
      </c>
      <c r="G2438" t="s">
        <v>2846</v>
      </c>
      <c r="H2438" t="s">
        <v>29</v>
      </c>
      <c r="I2438" t="str">
        <f>"62221"</f>
        <v>62221</v>
      </c>
      <c r="J2438" t="s">
        <v>63</v>
      </c>
      <c r="K2438" t="s">
        <v>64</v>
      </c>
      <c r="L2438" s="2">
        <v>1050328</v>
      </c>
      <c r="M2438" s="2">
        <v>387482</v>
      </c>
      <c r="N2438" s="2">
        <v>6045</v>
      </c>
      <c r="O2438" s="2">
        <v>7950</v>
      </c>
      <c r="P2438" t="s">
        <v>24</v>
      </c>
      <c r="Q2438" t="s">
        <v>24</v>
      </c>
    </row>
    <row r="2439" spans="1:17" x14ac:dyDescent="0.25">
      <c r="A2439" t="s">
        <v>6094</v>
      </c>
      <c r="B2439" t="s">
        <v>6095</v>
      </c>
      <c r="C2439" s="1">
        <v>41275</v>
      </c>
      <c r="D2439" s="1">
        <v>41639</v>
      </c>
      <c r="E2439" t="s">
        <v>6096</v>
      </c>
      <c r="G2439" t="s">
        <v>108</v>
      </c>
      <c r="H2439" t="s">
        <v>29</v>
      </c>
      <c r="I2439" t="str">
        <f>"60018"</f>
        <v>60018</v>
      </c>
      <c r="J2439" t="s">
        <v>22</v>
      </c>
      <c r="K2439" t="s">
        <v>30</v>
      </c>
      <c r="L2439" s="2">
        <v>1049554</v>
      </c>
      <c r="M2439" s="2">
        <v>4710384</v>
      </c>
      <c r="N2439" s="2">
        <v>0</v>
      </c>
      <c r="O2439" s="2">
        <v>4771304</v>
      </c>
      <c r="P2439" t="s">
        <v>24</v>
      </c>
      <c r="Q2439" t="s">
        <v>24</v>
      </c>
    </row>
    <row r="2440" spans="1:17" x14ac:dyDescent="0.25">
      <c r="A2440" t="s">
        <v>1450</v>
      </c>
      <c r="B2440" t="s">
        <v>1451</v>
      </c>
      <c r="C2440" s="1">
        <v>41244</v>
      </c>
      <c r="D2440" s="1">
        <v>41608</v>
      </c>
      <c r="E2440" t="s">
        <v>40</v>
      </c>
      <c r="G2440" t="s">
        <v>41</v>
      </c>
      <c r="H2440" t="s">
        <v>42</v>
      </c>
      <c r="I2440" t="str">
        <f>"53201"</f>
        <v>53201</v>
      </c>
      <c r="J2440" t="s">
        <v>22</v>
      </c>
      <c r="K2440" t="s">
        <v>79</v>
      </c>
      <c r="L2440" s="2">
        <v>1049422</v>
      </c>
      <c r="M2440" s="2">
        <v>1055249</v>
      </c>
      <c r="N2440" s="2">
        <v>0</v>
      </c>
      <c r="O2440" s="2">
        <v>61719</v>
      </c>
      <c r="P2440" t="s">
        <v>24</v>
      </c>
      <c r="Q2440" t="s">
        <v>24</v>
      </c>
    </row>
    <row r="2441" spans="1:17" x14ac:dyDescent="0.25">
      <c r="A2441" t="s">
        <v>5312</v>
      </c>
      <c r="B2441" t="s">
        <v>5313</v>
      </c>
      <c r="C2441" s="1">
        <v>41275</v>
      </c>
      <c r="D2441" s="1">
        <v>41639</v>
      </c>
      <c r="E2441" t="s">
        <v>5314</v>
      </c>
      <c r="G2441" t="s">
        <v>1946</v>
      </c>
      <c r="H2441" t="s">
        <v>47</v>
      </c>
      <c r="I2441" t="str">
        <f>"48025"</f>
        <v>48025</v>
      </c>
      <c r="J2441" t="s">
        <v>22</v>
      </c>
      <c r="K2441" t="s">
        <v>23</v>
      </c>
      <c r="L2441" s="2">
        <v>1049066</v>
      </c>
      <c r="M2441" s="2">
        <v>424858</v>
      </c>
      <c r="N2441" s="2">
        <v>0</v>
      </c>
      <c r="O2441" s="2">
        <v>142972</v>
      </c>
      <c r="P2441" t="s">
        <v>24</v>
      </c>
      <c r="Q2441" t="s">
        <v>24</v>
      </c>
    </row>
    <row r="2442" spans="1:17" x14ac:dyDescent="0.25">
      <c r="A2442" t="s">
        <v>4673</v>
      </c>
      <c r="B2442" t="s">
        <v>4674</v>
      </c>
      <c r="C2442" s="1">
        <v>41275</v>
      </c>
      <c r="D2442" s="1">
        <v>41639</v>
      </c>
      <c r="E2442" t="s">
        <v>4276</v>
      </c>
      <c r="G2442" t="s">
        <v>28</v>
      </c>
      <c r="H2442" t="s">
        <v>29</v>
      </c>
      <c r="I2442" t="str">
        <f>"60611"</f>
        <v>60611</v>
      </c>
      <c r="J2442" t="s">
        <v>22</v>
      </c>
      <c r="K2442" t="s">
        <v>30</v>
      </c>
      <c r="L2442" s="2">
        <v>1048786</v>
      </c>
      <c r="M2442" s="2">
        <v>1023677</v>
      </c>
      <c r="N2442" s="2">
        <v>0</v>
      </c>
      <c r="O2442" s="2">
        <v>47789</v>
      </c>
      <c r="P2442" t="s">
        <v>24</v>
      </c>
      <c r="Q2442" t="s">
        <v>24</v>
      </c>
    </row>
    <row r="2443" spans="1:17" x14ac:dyDescent="0.25">
      <c r="A2443" t="s">
        <v>2451</v>
      </c>
      <c r="B2443" t="s">
        <v>2452</v>
      </c>
      <c r="C2443" s="1">
        <v>41275</v>
      </c>
      <c r="D2443" s="1">
        <v>41639</v>
      </c>
      <c r="E2443" t="s">
        <v>2453</v>
      </c>
      <c r="G2443" t="s">
        <v>2454</v>
      </c>
      <c r="H2443" t="s">
        <v>42</v>
      </c>
      <c r="I2443" t="str">
        <f>"53082"</f>
        <v>53082</v>
      </c>
      <c r="J2443" t="s">
        <v>22</v>
      </c>
      <c r="K2443" t="s">
        <v>30</v>
      </c>
      <c r="L2443" s="2">
        <v>1048169</v>
      </c>
      <c r="M2443" s="2">
        <v>53001</v>
      </c>
      <c r="N2443" s="2">
        <v>0</v>
      </c>
      <c r="O2443" s="2">
        <v>50000</v>
      </c>
      <c r="P2443" t="s">
        <v>24</v>
      </c>
      <c r="Q2443" t="s">
        <v>24</v>
      </c>
    </row>
    <row r="2444" spans="1:17" x14ac:dyDescent="0.25">
      <c r="A2444" t="s">
        <v>3446</v>
      </c>
      <c r="B2444" t="s">
        <v>3447</v>
      </c>
      <c r="C2444" s="1">
        <v>41579</v>
      </c>
      <c r="D2444" s="1">
        <v>41943</v>
      </c>
      <c r="E2444" t="s">
        <v>40</v>
      </c>
      <c r="G2444" t="s">
        <v>41</v>
      </c>
      <c r="H2444" t="s">
        <v>42</v>
      </c>
      <c r="I2444" t="str">
        <f>"53201"</f>
        <v>53201</v>
      </c>
      <c r="J2444" t="s">
        <v>22</v>
      </c>
      <c r="K2444" t="s">
        <v>30</v>
      </c>
      <c r="L2444" s="2">
        <v>1047679</v>
      </c>
      <c r="M2444" s="2">
        <v>821448</v>
      </c>
      <c r="N2444" s="2">
        <v>0</v>
      </c>
      <c r="O2444" s="2">
        <v>75800</v>
      </c>
      <c r="P2444" t="s">
        <v>24</v>
      </c>
      <c r="Q2444" t="s">
        <v>24</v>
      </c>
    </row>
    <row r="2445" spans="1:17" x14ac:dyDescent="0.25">
      <c r="A2445" t="s">
        <v>4758</v>
      </c>
      <c r="B2445" t="s">
        <v>4759</v>
      </c>
      <c r="C2445" s="1">
        <v>41275</v>
      </c>
      <c r="D2445" s="1">
        <v>41639</v>
      </c>
      <c r="E2445" t="s">
        <v>4760</v>
      </c>
      <c r="G2445" t="s">
        <v>4761</v>
      </c>
      <c r="H2445" t="s">
        <v>78</v>
      </c>
      <c r="I2445" t="str">
        <f>"41017"</f>
        <v>41017</v>
      </c>
      <c r="J2445" t="s">
        <v>22</v>
      </c>
      <c r="K2445" t="s">
        <v>30</v>
      </c>
      <c r="L2445" s="2">
        <v>1047549</v>
      </c>
      <c r="M2445" s="2">
        <v>268558</v>
      </c>
      <c r="N2445" s="2">
        <v>0</v>
      </c>
      <c r="O2445" s="2">
        <v>69038</v>
      </c>
      <c r="P2445" t="s">
        <v>24</v>
      </c>
      <c r="Q2445" t="s">
        <v>24</v>
      </c>
    </row>
    <row r="2446" spans="1:17" x14ac:dyDescent="0.25">
      <c r="A2446" t="s">
        <v>3796</v>
      </c>
      <c r="B2446" t="s">
        <v>3797</v>
      </c>
      <c r="C2446" s="1">
        <v>41275</v>
      </c>
      <c r="D2446" s="1">
        <v>41639</v>
      </c>
      <c r="E2446" t="s">
        <v>3798</v>
      </c>
      <c r="G2446" t="s">
        <v>3799</v>
      </c>
      <c r="H2446" t="s">
        <v>62</v>
      </c>
      <c r="I2446" t="str">
        <f>"43056"</f>
        <v>43056</v>
      </c>
      <c r="J2446" t="s">
        <v>22</v>
      </c>
      <c r="K2446" t="s">
        <v>23</v>
      </c>
      <c r="L2446" s="2">
        <v>1044740</v>
      </c>
      <c r="M2446" s="2">
        <v>186950</v>
      </c>
      <c r="N2446" s="2">
        <v>0</v>
      </c>
      <c r="O2446" s="2">
        <v>59564</v>
      </c>
      <c r="P2446" t="s">
        <v>24</v>
      </c>
      <c r="Q2446" t="s">
        <v>24</v>
      </c>
    </row>
    <row r="2447" spans="1:17" x14ac:dyDescent="0.25">
      <c r="A2447" t="s">
        <v>164</v>
      </c>
      <c r="B2447" t="s">
        <v>165</v>
      </c>
      <c r="C2447" s="1">
        <v>41548</v>
      </c>
      <c r="D2447" s="1">
        <v>41912</v>
      </c>
      <c r="E2447" t="s">
        <v>166</v>
      </c>
      <c r="G2447" t="s">
        <v>167</v>
      </c>
      <c r="H2447" t="s">
        <v>62</v>
      </c>
      <c r="I2447" t="str">
        <f>"45249"</f>
        <v>45249</v>
      </c>
      <c r="J2447" t="s">
        <v>22</v>
      </c>
      <c r="K2447" t="s">
        <v>23</v>
      </c>
      <c r="L2447" s="2">
        <v>1043580</v>
      </c>
      <c r="M2447" s="2">
        <v>378711</v>
      </c>
      <c r="N2447" s="2">
        <v>0</v>
      </c>
      <c r="O2447" s="2">
        <v>353748</v>
      </c>
      <c r="P2447" t="s">
        <v>24</v>
      </c>
      <c r="Q2447" t="s">
        <v>24</v>
      </c>
    </row>
    <row r="2448" spans="1:17" x14ac:dyDescent="0.25">
      <c r="A2448" t="s">
        <v>312</v>
      </c>
      <c r="B2448" t="s">
        <v>313</v>
      </c>
      <c r="C2448" s="1">
        <v>41275</v>
      </c>
      <c r="D2448" s="1">
        <v>41639</v>
      </c>
      <c r="E2448" t="s">
        <v>314</v>
      </c>
      <c r="G2448" t="s">
        <v>315</v>
      </c>
      <c r="H2448" t="s">
        <v>42</v>
      </c>
      <c r="I2448" t="str">
        <f>"54702"</f>
        <v>54702</v>
      </c>
      <c r="J2448" t="s">
        <v>22</v>
      </c>
      <c r="K2448" t="s">
        <v>30</v>
      </c>
      <c r="L2448" s="2">
        <v>1043424</v>
      </c>
      <c r="M2448" s="2">
        <v>261643</v>
      </c>
      <c r="N2448" s="2">
        <v>0</v>
      </c>
      <c r="O2448" s="2">
        <v>176185</v>
      </c>
      <c r="P2448" t="s">
        <v>24</v>
      </c>
      <c r="Q2448" t="s">
        <v>24</v>
      </c>
    </row>
    <row r="2449" spans="1:17" x14ac:dyDescent="0.25">
      <c r="A2449" t="s">
        <v>6034</v>
      </c>
      <c r="B2449" t="s">
        <v>6035</v>
      </c>
      <c r="C2449" s="1">
        <v>41275</v>
      </c>
      <c r="D2449" s="1">
        <v>41639</v>
      </c>
      <c r="E2449" t="s">
        <v>6036</v>
      </c>
      <c r="G2449" t="s">
        <v>833</v>
      </c>
      <c r="H2449" t="s">
        <v>21</v>
      </c>
      <c r="I2449" t="str">
        <f>"47408"</f>
        <v>47408</v>
      </c>
      <c r="J2449" t="s">
        <v>22</v>
      </c>
      <c r="K2449" t="s">
        <v>23</v>
      </c>
      <c r="L2449" s="2">
        <v>1042693</v>
      </c>
      <c r="M2449" s="2">
        <v>486080</v>
      </c>
      <c r="N2449" s="2">
        <v>0</v>
      </c>
      <c r="O2449" s="2">
        <v>10552</v>
      </c>
      <c r="P2449" t="s">
        <v>24</v>
      </c>
      <c r="Q2449" t="s">
        <v>24</v>
      </c>
    </row>
    <row r="2450" spans="1:17" x14ac:dyDescent="0.25">
      <c r="A2450" t="s">
        <v>2873</v>
      </c>
      <c r="B2450" t="s">
        <v>2874</v>
      </c>
      <c r="C2450" s="1">
        <v>41275</v>
      </c>
      <c r="D2450" s="1">
        <v>41639</v>
      </c>
      <c r="E2450" t="s">
        <v>2875</v>
      </c>
      <c r="G2450" t="s">
        <v>1517</v>
      </c>
      <c r="H2450" t="s">
        <v>29</v>
      </c>
      <c r="I2450" t="str">
        <f>"60173"</f>
        <v>60173</v>
      </c>
      <c r="J2450" t="s">
        <v>22</v>
      </c>
      <c r="K2450" t="s">
        <v>23</v>
      </c>
      <c r="L2450" s="2">
        <v>1040825</v>
      </c>
      <c r="M2450" s="2">
        <v>563917</v>
      </c>
      <c r="N2450" s="2">
        <v>5741</v>
      </c>
      <c r="O2450" s="2">
        <v>64008</v>
      </c>
      <c r="P2450" t="s">
        <v>24</v>
      </c>
      <c r="Q2450" t="s">
        <v>24</v>
      </c>
    </row>
    <row r="2451" spans="1:17" x14ac:dyDescent="0.25">
      <c r="A2451" t="s">
        <v>919</v>
      </c>
      <c r="B2451" t="s">
        <v>920</v>
      </c>
      <c r="C2451" s="1">
        <v>41091</v>
      </c>
      <c r="D2451" s="1">
        <v>41455</v>
      </c>
      <c r="E2451" t="s">
        <v>475</v>
      </c>
      <c r="G2451" t="s">
        <v>28</v>
      </c>
      <c r="H2451" t="s">
        <v>29</v>
      </c>
      <c r="I2451" t="str">
        <f>"60606"</f>
        <v>60606</v>
      </c>
      <c r="J2451" t="s">
        <v>63</v>
      </c>
      <c r="K2451" t="s">
        <v>30</v>
      </c>
      <c r="L2451" s="2">
        <v>1040536</v>
      </c>
      <c r="M2451" s="2">
        <v>61901</v>
      </c>
      <c r="N2451" s="2">
        <v>28075</v>
      </c>
      <c r="O2451" s="2">
        <v>18085</v>
      </c>
      <c r="P2451" s="2">
        <v>3085</v>
      </c>
      <c r="Q2451" s="2">
        <v>0</v>
      </c>
    </row>
    <row r="2452" spans="1:17" x14ac:dyDescent="0.25">
      <c r="A2452" t="s">
        <v>338</v>
      </c>
      <c r="B2452" t="s">
        <v>339</v>
      </c>
      <c r="C2452" s="1">
        <v>41275</v>
      </c>
      <c r="D2452" s="1">
        <v>41639</v>
      </c>
      <c r="E2452" t="s">
        <v>340</v>
      </c>
      <c r="G2452" t="s">
        <v>167</v>
      </c>
      <c r="H2452" t="s">
        <v>62</v>
      </c>
      <c r="I2452" t="str">
        <f>"45249"</f>
        <v>45249</v>
      </c>
      <c r="J2452" t="s">
        <v>22</v>
      </c>
      <c r="K2452" t="s">
        <v>30</v>
      </c>
      <c r="L2452" s="2">
        <v>1039341</v>
      </c>
      <c r="M2452" s="2">
        <v>577249</v>
      </c>
      <c r="N2452" s="2">
        <v>0</v>
      </c>
      <c r="O2452" s="2">
        <v>46821</v>
      </c>
      <c r="P2452" t="s">
        <v>24</v>
      </c>
      <c r="Q2452" t="s">
        <v>24</v>
      </c>
    </row>
    <row r="2453" spans="1:17" x14ac:dyDescent="0.25">
      <c r="A2453" t="s">
        <v>2406</v>
      </c>
      <c r="B2453" t="s">
        <v>2407</v>
      </c>
      <c r="C2453" s="1">
        <v>41275</v>
      </c>
      <c r="D2453" s="1">
        <v>41639</v>
      </c>
      <c r="E2453" t="s">
        <v>2408</v>
      </c>
      <c r="G2453" t="s">
        <v>28</v>
      </c>
      <c r="H2453" t="s">
        <v>29</v>
      </c>
      <c r="I2453" t="str">
        <f>"60603"</f>
        <v>60603</v>
      </c>
      <c r="J2453" t="s">
        <v>22</v>
      </c>
      <c r="K2453" t="s">
        <v>30</v>
      </c>
      <c r="L2453" s="2">
        <v>1037578</v>
      </c>
      <c r="M2453" s="2">
        <v>417038</v>
      </c>
      <c r="N2453" s="2">
        <v>0</v>
      </c>
      <c r="O2453" s="2">
        <v>66215</v>
      </c>
      <c r="P2453" t="s">
        <v>24</v>
      </c>
      <c r="Q2453" t="s">
        <v>24</v>
      </c>
    </row>
    <row r="2454" spans="1:17" x14ac:dyDescent="0.25">
      <c r="A2454" t="s">
        <v>3535</v>
      </c>
      <c r="B2454" t="s">
        <v>3536</v>
      </c>
      <c r="C2454" s="1">
        <v>41275</v>
      </c>
      <c r="D2454" s="1">
        <v>41639</v>
      </c>
      <c r="E2454" t="s">
        <v>3537</v>
      </c>
      <c r="G2454" t="s">
        <v>3538</v>
      </c>
      <c r="H2454" t="s">
        <v>62</v>
      </c>
      <c r="I2454" t="str">
        <f>"44278"</f>
        <v>44278</v>
      </c>
      <c r="J2454" t="s">
        <v>22</v>
      </c>
      <c r="K2454" t="s">
        <v>23</v>
      </c>
      <c r="L2454" s="2">
        <v>1037011</v>
      </c>
      <c r="M2454" s="2">
        <v>459238</v>
      </c>
      <c r="N2454" s="2">
        <v>0</v>
      </c>
      <c r="O2454" s="2">
        <v>56048</v>
      </c>
      <c r="P2454" t="s">
        <v>24</v>
      </c>
      <c r="Q2454" t="s">
        <v>24</v>
      </c>
    </row>
    <row r="2455" spans="1:17" x14ac:dyDescent="0.25">
      <c r="A2455" t="s">
        <v>1518</v>
      </c>
      <c r="B2455" t="s">
        <v>1519</v>
      </c>
      <c r="C2455" s="1">
        <v>41365</v>
      </c>
      <c r="D2455" s="1">
        <v>41729</v>
      </c>
      <c r="E2455" t="s">
        <v>1520</v>
      </c>
      <c r="G2455" t="s">
        <v>1521</v>
      </c>
      <c r="H2455" t="s">
        <v>47</v>
      </c>
      <c r="I2455" t="str">
        <f>"48144"</f>
        <v>48144</v>
      </c>
      <c r="J2455" t="s">
        <v>63</v>
      </c>
      <c r="K2455" t="s">
        <v>64</v>
      </c>
      <c r="L2455" s="2">
        <v>1034654</v>
      </c>
      <c r="M2455" s="2">
        <v>78248</v>
      </c>
      <c r="N2455" s="2">
        <v>0</v>
      </c>
      <c r="O2455" s="2">
        <v>28282</v>
      </c>
      <c r="P2455" s="2">
        <v>28282</v>
      </c>
      <c r="Q2455" s="2">
        <v>0</v>
      </c>
    </row>
    <row r="2456" spans="1:17" x14ac:dyDescent="0.25">
      <c r="A2456" t="s">
        <v>576</v>
      </c>
      <c r="B2456" t="s">
        <v>577</v>
      </c>
      <c r="C2456" s="1">
        <v>41306</v>
      </c>
      <c r="D2456" s="1">
        <v>41670</v>
      </c>
      <c r="E2456" t="s">
        <v>578</v>
      </c>
      <c r="G2456" t="s">
        <v>579</v>
      </c>
      <c r="H2456" t="s">
        <v>42</v>
      </c>
      <c r="I2456" t="str">
        <f>"53551"</f>
        <v>53551</v>
      </c>
      <c r="J2456" t="s">
        <v>22</v>
      </c>
      <c r="K2456" t="s">
        <v>23</v>
      </c>
      <c r="L2456" s="2">
        <v>1034398</v>
      </c>
      <c r="M2456" s="2">
        <v>28042</v>
      </c>
      <c r="N2456" s="2">
        <v>0</v>
      </c>
      <c r="O2456" s="2">
        <v>37775</v>
      </c>
      <c r="P2456" t="s">
        <v>24</v>
      </c>
      <c r="Q2456" t="s">
        <v>24</v>
      </c>
    </row>
    <row r="2457" spans="1:17" x14ac:dyDescent="0.25">
      <c r="A2457" t="s">
        <v>1018</v>
      </c>
      <c r="B2457" t="s">
        <v>1019</v>
      </c>
      <c r="C2457" s="1">
        <v>40909</v>
      </c>
      <c r="D2457" s="1">
        <v>41274</v>
      </c>
      <c r="E2457" t="s">
        <v>1020</v>
      </c>
      <c r="G2457" t="s">
        <v>1021</v>
      </c>
      <c r="H2457" t="s">
        <v>47</v>
      </c>
      <c r="I2457" t="str">
        <f>"48230"</f>
        <v>48230</v>
      </c>
      <c r="J2457" t="s">
        <v>22</v>
      </c>
      <c r="K2457" t="s">
        <v>23</v>
      </c>
      <c r="L2457" s="2">
        <v>1034326</v>
      </c>
      <c r="M2457" s="2">
        <v>84182</v>
      </c>
      <c r="N2457" s="2">
        <v>65902</v>
      </c>
      <c r="O2457" s="2">
        <v>91432</v>
      </c>
      <c r="P2457" t="s">
        <v>24</v>
      </c>
      <c r="Q2457" t="s">
        <v>24</v>
      </c>
    </row>
    <row r="2458" spans="1:17" x14ac:dyDescent="0.25">
      <c r="A2458" t="s">
        <v>5417</v>
      </c>
      <c r="B2458" t="s">
        <v>5418</v>
      </c>
      <c r="C2458" s="1">
        <v>41275</v>
      </c>
      <c r="D2458" s="1">
        <v>41639</v>
      </c>
      <c r="E2458" t="s">
        <v>5419</v>
      </c>
      <c r="G2458" t="s">
        <v>172</v>
      </c>
      <c r="H2458" t="s">
        <v>62</v>
      </c>
      <c r="I2458" t="str">
        <f>"43420"</f>
        <v>43420</v>
      </c>
      <c r="J2458" t="s">
        <v>63</v>
      </c>
      <c r="K2458" t="s">
        <v>30</v>
      </c>
      <c r="L2458" s="2">
        <v>1032986</v>
      </c>
      <c r="M2458" s="2">
        <v>76699</v>
      </c>
      <c r="N2458" s="2">
        <v>0</v>
      </c>
      <c r="O2458" s="2">
        <v>66937</v>
      </c>
      <c r="P2458" s="2">
        <v>6863</v>
      </c>
      <c r="Q2458" s="2">
        <v>3500</v>
      </c>
    </row>
    <row r="2459" spans="1:17" x14ac:dyDescent="0.25">
      <c r="A2459" t="s">
        <v>734</v>
      </c>
      <c r="B2459" t="s">
        <v>735</v>
      </c>
      <c r="C2459" s="1">
        <v>41275</v>
      </c>
      <c r="D2459" s="1">
        <v>41639</v>
      </c>
      <c r="E2459" t="s">
        <v>736</v>
      </c>
      <c r="G2459" t="s">
        <v>737</v>
      </c>
      <c r="H2459" t="s">
        <v>42</v>
      </c>
      <c r="I2459" t="str">
        <f>"54935"</f>
        <v>54935</v>
      </c>
      <c r="J2459" t="s">
        <v>63</v>
      </c>
      <c r="K2459" t="s">
        <v>79</v>
      </c>
      <c r="L2459" s="2">
        <v>1031703</v>
      </c>
      <c r="M2459" s="2">
        <v>137849</v>
      </c>
      <c r="N2459" s="2">
        <v>0</v>
      </c>
      <c r="O2459" s="2">
        <v>121341</v>
      </c>
      <c r="P2459" s="2">
        <v>39464</v>
      </c>
      <c r="Q2459" s="2">
        <v>23233</v>
      </c>
    </row>
    <row r="2460" spans="1:17" x14ac:dyDescent="0.25">
      <c r="A2460" t="s">
        <v>4246</v>
      </c>
      <c r="B2460" t="s">
        <v>4247</v>
      </c>
      <c r="C2460" s="1">
        <v>41275</v>
      </c>
      <c r="D2460" s="1">
        <v>41639</v>
      </c>
      <c r="E2460" t="s">
        <v>4248</v>
      </c>
      <c r="G2460" t="s">
        <v>4249</v>
      </c>
      <c r="H2460" t="s">
        <v>62</v>
      </c>
      <c r="I2460" t="str">
        <f>"43035"</f>
        <v>43035</v>
      </c>
      <c r="J2460" t="s">
        <v>22</v>
      </c>
      <c r="K2460" t="s">
        <v>30</v>
      </c>
      <c r="L2460" s="2">
        <v>1031423</v>
      </c>
      <c r="M2460" s="2">
        <v>248130</v>
      </c>
      <c r="N2460" s="2">
        <v>0</v>
      </c>
      <c r="O2460" s="2">
        <v>201470</v>
      </c>
      <c r="P2460" t="s">
        <v>24</v>
      </c>
      <c r="Q2460" t="s">
        <v>24</v>
      </c>
    </row>
    <row r="2461" spans="1:17" x14ac:dyDescent="0.25">
      <c r="A2461" t="s">
        <v>1336</v>
      </c>
      <c r="B2461" t="s">
        <v>1337</v>
      </c>
      <c r="C2461" s="1">
        <v>41275</v>
      </c>
      <c r="D2461" s="1">
        <v>41639</v>
      </c>
      <c r="E2461" t="s">
        <v>1338</v>
      </c>
      <c r="G2461" t="s">
        <v>1339</v>
      </c>
      <c r="H2461" t="s">
        <v>47</v>
      </c>
      <c r="I2461" t="str">
        <f>"48084"</f>
        <v>48084</v>
      </c>
      <c r="J2461" t="s">
        <v>22</v>
      </c>
      <c r="K2461" t="s">
        <v>30</v>
      </c>
      <c r="L2461" s="2">
        <v>1030616</v>
      </c>
      <c r="M2461" s="2">
        <v>733424</v>
      </c>
      <c r="N2461" s="2">
        <v>0</v>
      </c>
      <c r="O2461" s="2">
        <v>61272</v>
      </c>
      <c r="P2461" t="s">
        <v>24</v>
      </c>
      <c r="Q2461" t="s">
        <v>24</v>
      </c>
    </row>
    <row r="2462" spans="1:17" x14ac:dyDescent="0.25">
      <c r="A2462" t="s">
        <v>5124</v>
      </c>
      <c r="B2462" t="s">
        <v>5125</v>
      </c>
      <c r="C2462" s="1">
        <v>41275</v>
      </c>
      <c r="D2462" s="1">
        <v>41639</v>
      </c>
      <c r="E2462" t="s">
        <v>5126</v>
      </c>
      <c r="G2462" t="s">
        <v>1757</v>
      </c>
      <c r="H2462" t="s">
        <v>47</v>
      </c>
      <c r="I2462" t="str">
        <f>"49007"</f>
        <v>49007</v>
      </c>
      <c r="J2462" t="s">
        <v>22</v>
      </c>
      <c r="K2462" t="s">
        <v>30</v>
      </c>
      <c r="L2462" s="2">
        <v>1030441</v>
      </c>
      <c r="M2462" s="2">
        <v>301489</v>
      </c>
      <c r="N2462" s="2">
        <v>0</v>
      </c>
      <c r="O2462" s="2">
        <v>109594</v>
      </c>
      <c r="P2462" t="s">
        <v>24</v>
      </c>
      <c r="Q2462" t="s">
        <v>24</v>
      </c>
    </row>
    <row r="2463" spans="1:17" x14ac:dyDescent="0.25">
      <c r="A2463" t="s">
        <v>2991</v>
      </c>
      <c r="B2463" t="s">
        <v>2992</v>
      </c>
      <c r="C2463" s="1">
        <v>41275</v>
      </c>
      <c r="D2463" s="1">
        <v>41639</v>
      </c>
      <c r="E2463" t="s">
        <v>2993</v>
      </c>
      <c r="G2463" t="s">
        <v>2994</v>
      </c>
      <c r="H2463" t="s">
        <v>42</v>
      </c>
      <c r="I2463" t="str">
        <f>"53217"</f>
        <v>53217</v>
      </c>
      <c r="J2463" t="s">
        <v>22</v>
      </c>
      <c r="K2463" t="s">
        <v>30</v>
      </c>
      <c r="L2463" s="2">
        <v>1030397</v>
      </c>
      <c r="M2463" s="2">
        <v>346413</v>
      </c>
      <c r="N2463" s="2">
        <v>0</v>
      </c>
      <c r="O2463" s="2">
        <v>68987</v>
      </c>
      <c r="P2463" t="s">
        <v>24</v>
      </c>
      <c r="Q2463" t="s">
        <v>24</v>
      </c>
    </row>
    <row r="2464" spans="1:17" x14ac:dyDescent="0.25">
      <c r="A2464" t="s">
        <v>421</v>
      </c>
      <c r="B2464" t="s">
        <v>422</v>
      </c>
      <c r="C2464" s="1">
        <v>41275</v>
      </c>
      <c r="D2464" s="1">
        <v>41639</v>
      </c>
      <c r="E2464" t="s">
        <v>423</v>
      </c>
      <c r="G2464" t="s">
        <v>424</v>
      </c>
      <c r="H2464" t="s">
        <v>42</v>
      </c>
      <c r="I2464" t="str">
        <f>"54646"</f>
        <v>54646</v>
      </c>
      <c r="J2464" t="s">
        <v>63</v>
      </c>
      <c r="K2464" t="s">
        <v>23</v>
      </c>
      <c r="L2464" s="2">
        <v>1029965</v>
      </c>
      <c r="M2464" s="2">
        <v>107952</v>
      </c>
      <c r="N2464" s="2">
        <v>0</v>
      </c>
      <c r="O2464" s="2">
        <v>33124</v>
      </c>
      <c r="P2464" s="2">
        <v>395</v>
      </c>
      <c r="Q2464" s="2">
        <v>0</v>
      </c>
    </row>
    <row r="2465" spans="1:17" x14ac:dyDescent="0.25">
      <c r="A2465" t="s">
        <v>2118</v>
      </c>
      <c r="B2465" t="s">
        <v>2119</v>
      </c>
      <c r="C2465" s="1">
        <v>41275</v>
      </c>
      <c r="D2465" s="1">
        <v>41639</v>
      </c>
      <c r="E2465" t="s">
        <v>2120</v>
      </c>
      <c r="G2465" t="s">
        <v>2121</v>
      </c>
      <c r="H2465" t="s">
        <v>47</v>
      </c>
      <c r="I2465" t="str">
        <f>"49946"</f>
        <v>49946</v>
      </c>
      <c r="J2465" t="s">
        <v>63</v>
      </c>
      <c r="K2465" t="s">
        <v>64</v>
      </c>
      <c r="L2465" s="2">
        <v>1029125</v>
      </c>
      <c r="M2465" s="2">
        <v>118047</v>
      </c>
      <c r="N2465" s="2">
        <v>1207</v>
      </c>
      <c r="O2465" s="2">
        <v>61737</v>
      </c>
      <c r="P2465" s="2">
        <v>23733</v>
      </c>
      <c r="Q2465" s="2">
        <v>6969</v>
      </c>
    </row>
    <row r="2466" spans="1:17" x14ac:dyDescent="0.25">
      <c r="A2466" t="s">
        <v>4041</v>
      </c>
      <c r="B2466" t="s">
        <v>4042</v>
      </c>
      <c r="C2466" s="1">
        <v>41275</v>
      </c>
      <c r="D2466" s="1">
        <v>41639</v>
      </c>
      <c r="E2466" t="s">
        <v>4043</v>
      </c>
      <c r="G2466" t="s">
        <v>4044</v>
      </c>
      <c r="H2466" t="s">
        <v>29</v>
      </c>
      <c r="I2466" t="str">
        <f>"60115"</f>
        <v>60115</v>
      </c>
      <c r="J2466" t="s">
        <v>22</v>
      </c>
      <c r="K2466" t="s">
        <v>23</v>
      </c>
      <c r="L2466" s="2">
        <v>1027830</v>
      </c>
      <c r="M2466" s="2">
        <v>584972</v>
      </c>
      <c r="N2466" s="2">
        <v>0</v>
      </c>
      <c r="O2466" s="2">
        <v>654235</v>
      </c>
      <c r="P2466" t="s">
        <v>24</v>
      </c>
      <c r="Q2466" t="s">
        <v>24</v>
      </c>
    </row>
    <row r="2467" spans="1:17" x14ac:dyDescent="0.25">
      <c r="A2467" t="s">
        <v>3439</v>
      </c>
      <c r="B2467" t="s">
        <v>3440</v>
      </c>
      <c r="C2467" s="1">
        <v>41579</v>
      </c>
      <c r="D2467" s="1">
        <v>41943</v>
      </c>
      <c r="E2467" t="s">
        <v>104</v>
      </c>
      <c r="G2467" t="s">
        <v>28</v>
      </c>
      <c r="H2467" t="s">
        <v>29</v>
      </c>
      <c r="I2467" t="str">
        <f>"60680"</f>
        <v>60680</v>
      </c>
      <c r="J2467" t="s">
        <v>22</v>
      </c>
      <c r="K2467" t="s">
        <v>23</v>
      </c>
      <c r="L2467" s="2">
        <v>1027719</v>
      </c>
      <c r="M2467" s="2">
        <v>301082</v>
      </c>
      <c r="N2467" s="2">
        <v>0</v>
      </c>
      <c r="O2467" s="2">
        <v>56097</v>
      </c>
      <c r="P2467" t="s">
        <v>24</v>
      </c>
      <c r="Q2467" t="s">
        <v>24</v>
      </c>
    </row>
    <row r="2468" spans="1:17" x14ac:dyDescent="0.25">
      <c r="A2468" t="s">
        <v>3949</v>
      </c>
      <c r="B2468" t="s">
        <v>3950</v>
      </c>
      <c r="C2468" s="1">
        <v>41275</v>
      </c>
      <c r="D2468" s="1">
        <v>41639</v>
      </c>
      <c r="E2468" t="s">
        <v>3951</v>
      </c>
      <c r="G2468" t="s">
        <v>364</v>
      </c>
      <c r="H2468" t="s">
        <v>21</v>
      </c>
      <c r="I2468" t="str">
        <f>"47725"</f>
        <v>47725</v>
      </c>
      <c r="J2468" t="s">
        <v>22</v>
      </c>
      <c r="K2468" t="s">
        <v>30</v>
      </c>
      <c r="L2468" s="2">
        <v>1027607</v>
      </c>
      <c r="M2468" s="2">
        <v>718202</v>
      </c>
      <c r="N2468" s="2">
        <v>0</v>
      </c>
      <c r="O2468" s="2">
        <v>91984</v>
      </c>
      <c r="P2468" t="s">
        <v>24</v>
      </c>
      <c r="Q2468" t="s">
        <v>24</v>
      </c>
    </row>
    <row r="2469" spans="1:17" x14ac:dyDescent="0.25">
      <c r="A2469" t="s">
        <v>2295</v>
      </c>
      <c r="B2469" t="s">
        <v>2296</v>
      </c>
      <c r="C2469" s="1">
        <v>41275</v>
      </c>
      <c r="D2469" s="1">
        <v>41639</v>
      </c>
      <c r="E2469" t="s">
        <v>2297</v>
      </c>
      <c r="G2469" t="s">
        <v>364</v>
      </c>
      <c r="H2469" t="s">
        <v>21</v>
      </c>
      <c r="I2469" t="str">
        <f>"47702"</f>
        <v>47702</v>
      </c>
      <c r="J2469" t="s">
        <v>22</v>
      </c>
      <c r="K2469" t="s">
        <v>30</v>
      </c>
      <c r="L2469" s="2">
        <v>1026750</v>
      </c>
      <c r="M2469" s="2">
        <v>259600</v>
      </c>
      <c r="N2469" s="2">
        <v>0</v>
      </c>
      <c r="O2469" s="2">
        <v>63543</v>
      </c>
      <c r="P2469" t="s">
        <v>24</v>
      </c>
      <c r="Q2469" t="s">
        <v>24</v>
      </c>
    </row>
    <row r="2470" spans="1:17" x14ac:dyDescent="0.25">
      <c r="A2470" t="s">
        <v>1786</v>
      </c>
      <c r="B2470" t="s">
        <v>1787</v>
      </c>
      <c r="C2470" s="1">
        <v>41275</v>
      </c>
      <c r="D2470" s="1">
        <v>41639</v>
      </c>
      <c r="E2470" t="s">
        <v>1788</v>
      </c>
      <c r="G2470" t="s">
        <v>139</v>
      </c>
      <c r="H2470" t="s">
        <v>47</v>
      </c>
      <c r="I2470" t="str">
        <f>"49503"</f>
        <v>49503</v>
      </c>
      <c r="J2470" t="s">
        <v>63</v>
      </c>
      <c r="K2470" t="s">
        <v>79</v>
      </c>
      <c r="L2470" s="2">
        <v>1026611</v>
      </c>
      <c r="M2470" s="2">
        <v>99361</v>
      </c>
      <c r="N2470" s="2">
        <v>0</v>
      </c>
      <c r="O2470" s="2">
        <v>64891</v>
      </c>
      <c r="P2470" s="2">
        <v>7146</v>
      </c>
      <c r="Q2470" s="2">
        <v>2453</v>
      </c>
    </row>
    <row r="2471" spans="1:17" x14ac:dyDescent="0.25">
      <c r="A2471" t="s">
        <v>3930</v>
      </c>
      <c r="B2471" t="s">
        <v>3931</v>
      </c>
      <c r="C2471" s="1">
        <v>41275</v>
      </c>
      <c r="D2471" s="1">
        <v>41639</v>
      </c>
      <c r="E2471" t="s">
        <v>1942</v>
      </c>
      <c r="G2471" t="s">
        <v>41</v>
      </c>
      <c r="H2471" t="s">
        <v>42</v>
      </c>
      <c r="I2471" t="str">
        <f>"53201"</f>
        <v>53201</v>
      </c>
      <c r="J2471" t="s">
        <v>22</v>
      </c>
      <c r="K2471" t="s">
        <v>30</v>
      </c>
      <c r="L2471" s="2">
        <v>1024976</v>
      </c>
      <c r="M2471" s="2">
        <v>485162</v>
      </c>
      <c r="N2471" s="2">
        <v>0</v>
      </c>
      <c r="O2471" s="2">
        <v>665665</v>
      </c>
      <c r="P2471" t="s">
        <v>24</v>
      </c>
      <c r="Q2471" t="s">
        <v>24</v>
      </c>
    </row>
    <row r="2472" spans="1:17" x14ac:dyDescent="0.25">
      <c r="A2472" t="s">
        <v>4595</v>
      </c>
      <c r="B2472" t="s">
        <v>4596</v>
      </c>
      <c r="C2472" s="1">
        <v>41275</v>
      </c>
      <c r="D2472" s="1">
        <v>41639</v>
      </c>
      <c r="E2472" t="s">
        <v>4597</v>
      </c>
      <c r="G2472" t="s">
        <v>337</v>
      </c>
      <c r="H2472" t="s">
        <v>62</v>
      </c>
      <c r="I2472" t="str">
        <f>"44115"</f>
        <v>44115</v>
      </c>
      <c r="J2472" t="s">
        <v>22</v>
      </c>
      <c r="K2472" t="s">
        <v>23</v>
      </c>
      <c r="L2472" s="2">
        <v>1024705</v>
      </c>
      <c r="M2472" s="2">
        <v>285902</v>
      </c>
      <c r="N2472" s="2">
        <v>0</v>
      </c>
      <c r="O2472" s="2">
        <v>84194</v>
      </c>
      <c r="P2472" t="s">
        <v>24</v>
      </c>
      <c r="Q2472" t="s">
        <v>24</v>
      </c>
    </row>
    <row r="2473" spans="1:17" x14ac:dyDescent="0.25">
      <c r="A2473" t="s">
        <v>1153</v>
      </c>
      <c r="B2473" t="s">
        <v>1154</v>
      </c>
      <c r="C2473" s="1">
        <v>41275</v>
      </c>
      <c r="D2473" s="1">
        <v>41639</v>
      </c>
      <c r="E2473" t="s">
        <v>668</v>
      </c>
      <c r="G2473" t="s">
        <v>28</v>
      </c>
      <c r="H2473" t="s">
        <v>29</v>
      </c>
      <c r="I2473" t="str">
        <f>"60606"</f>
        <v>60606</v>
      </c>
      <c r="J2473" t="s">
        <v>22</v>
      </c>
      <c r="K2473" t="s">
        <v>23</v>
      </c>
      <c r="L2473" s="2">
        <v>1022239</v>
      </c>
      <c r="M2473" s="2">
        <v>504460</v>
      </c>
      <c r="N2473" s="2">
        <v>0</v>
      </c>
      <c r="O2473" s="2">
        <v>174964</v>
      </c>
      <c r="P2473" t="s">
        <v>24</v>
      </c>
      <c r="Q2473" t="s">
        <v>24</v>
      </c>
    </row>
    <row r="2474" spans="1:17" x14ac:dyDescent="0.25">
      <c r="A2474" t="s">
        <v>6111</v>
      </c>
      <c r="B2474" t="s">
        <v>6112</v>
      </c>
      <c r="C2474" s="1">
        <v>41275</v>
      </c>
      <c r="D2474" s="1">
        <v>41639</v>
      </c>
      <c r="E2474" t="s">
        <v>6113</v>
      </c>
      <c r="G2474" t="s">
        <v>880</v>
      </c>
      <c r="H2474" t="s">
        <v>29</v>
      </c>
      <c r="I2474" t="str">
        <f>"60022"</f>
        <v>60022</v>
      </c>
      <c r="J2474" t="s">
        <v>22</v>
      </c>
      <c r="K2474" t="s">
        <v>23</v>
      </c>
      <c r="L2474" s="2">
        <v>1021761</v>
      </c>
      <c r="M2474" s="2">
        <v>278441</v>
      </c>
      <c r="N2474" s="2">
        <v>0</v>
      </c>
      <c r="O2474" s="2">
        <v>9800</v>
      </c>
      <c r="P2474" t="s">
        <v>24</v>
      </c>
      <c r="Q2474" t="s">
        <v>24</v>
      </c>
    </row>
    <row r="2475" spans="1:17" x14ac:dyDescent="0.25">
      <c r="A2475" t="s">
        <v>4640</v>
      </c>
      <c r="B2475" t="s">
        <v>4641</v>
      </c>
      <c r="C2475" s="1">
        <v>41275</v>
      </c>
      <c r="D2475" s="1">
        <v>41639</v>
      </c>
      <c r="E2475" t="s">
        <v>4642</v>
      </c>
      <c r="G2475" t="s">
        <v>1122</v>
      </c>
      <c r="H2475" t="s">
        <v>47</v>
      </c>
      <c r="I2475" t="str">
        <f>"48081"</f>
        <v>48081</v>
      </c>
      <c r="J2475" t="s">
        <v>22</v>
      </c>
      <c r="K2475" t="s">
        <v>23</v>
      </c>
      <c r="L2475" s="2">
        <v>1020248</v>
      </c>
      <c r="M2475" s="2">
        <v>24176</v>
      </c>
      <c r="N2475" s="2">
        <v>0</v>
      </c>
      <c r="O2475" s="2">
        <v>73465</v>
      </c>
      <c r="P2475" t="s">
        <v>24</v>
      </c>
      <c r="Q2475" t="s">
        <v>24</v>
      </c>
    </row>
    <row r="2476" spans="1:17" x14ac:dyDescent="0.25">
      <c r="A2476" t="s">
        <v>2275</v>
      </c>
      <c r="B2476" t="s">
        <v>2276</v>
      </c>
      <c r="C2476" s="1">
        <v>41275</v>
      </c>
      <c r="D2476" s="1">
        <v>41639</v>
      </c>
      <c r="E2476" t="s">
        <v>2277</v>
      </c>
      <c r="G2476" t="s">
        <v>2278</v>
      </c>
      <c r="H2476" t="s">
        <v>62</v>
      </c>
      <c r="I2476" t="str">
        <f>"45036"</f>
        <v>45036</v>
      </c>
      <c r="J2476" t="s">
        <v>22</v>
      </c>
      <c r="K2476" t="s">
        <v>23</v>
      </c>
      <c r="L2476" s="2">
        <v>1019413</v>
      </c>
      <c r="M2476" s="2">
        <v>124211</v>
      </c>
      <c r="N2476" s="2">
        <v>0</v>
      </c>
      <c r="O2476" s="2">
        <v>66856</v>
      </c>
      <c r="P2476" t="s">
        <v>24</v>
      </c>
      <c r="Q2476" t="s">
        <v>24</v>
      </c>
    </row>
    <row r="2477" spans="1:17" x14ac:dyDescent="0.25">
      <c r="A2477" t="s">
        <v>5030</v>
      </c>
      <c r="B2477" t="s">
        <v>5031</v>
      </c>
      <c r="C2477" s="1">
        <v>41275</v>
      </c>
      <c r="D2477" s="1">
        <v>41639</v>
      </c>
      <c r="E2477" t="s">
        <v>2297</v>
      </c>
      <c r="G2477" t="s">
        <v>364</v>
      </c>
      <c r="H2477" t="s">
        <v>21</v>
      </c>
      <c r="I2477" t="str">
        <f>"47702"</f>
        <v>47702</v>
      </c>
      <c r="J2477" t="s">
        <v>22</v>
      </c>
      <c r="K2477" t="s">
        <v>30</v>
      </c>
      <c r="L2477" s="2">
        <v>1017607</v>
      </c>
      <c r="M2477" s="2">
        <v>89885</v>
      </c>
      <c r="N2477" s="2">
        <v>0</v>
      </c>
      <c r="O2477" s="2">
        <v>61839</v>
      </c>
      <c r="P2477" t="s">
        <v>24</v>
      </c>
      <c r="Q2477" t="s">
        <v>24</v>
      </c>
    </row>
    <row r="2478" spans="1:17" x14ac:dyDescent="0.25">
      <c r="A2478" t="s">
        <v>3615</v>
      </c>
      <c r="B2478" t="s">
        <v>3616</v>
      </c>
      <c r="C2478" s="1">
        <v>40909</v>
      </c>
      <c r="D2478" s="1">
        <v>41274</v>
      </c>
      <c r="E2478" t="s">
        <v>3617</v>
      </c>
      <c r="G2478" t="s">
        <v>139</v>
      </c>
      <c r="H2478" t="s">
        <v>47</v>
      </c>
      <c r="I2478" t="str">
        <f>"49546"</f>
        <v>49546</v>
      </c>
      <c r="J2478" t="s">
        <v>22</v>
      </c>
      <c r="K2478" t="s">
        <v>23</v>
      </c>
      <c r="L2478" s="2">
        <v>1017569</v>
      </c>
      <c r="M2478" s="2">
        <v>340880</v>
      </c>
      <c r="N2478" s="2">
        <v>0</v>
      </c>
      <c r="O2478" s="2">
        <v>68522</v>
      </c>
      <c r="P2478" t="s">
        <v>24</v>
      </c>
      <c r="Q2478" t="s">
        <v>24</v>
      </c>
    </row>
    <row r="2479" spans="1:17" x14ac:dyDescent="0.25">
      <c r="A2479" t="s">
        <v>5462</v>
      </c>
      <c r="B2479" t="s">
        <v>5463</v>
      </c>
      <c r="C2479" s="1">
        <v>41275</v>
      </c>
      <c r="D2479" s="1">
        <v>41639</v>
      </c>
      <c r="E2479" t="s">
        <v>5464</v>
      </c>
      <c r="G2479" t="s">
        <v>5465</v>
      </c>
      <c r="H2479" t="s">
        <v>78</v>
      </c>
      <c r="I2479" t="str">
        <f>"42066"</f>
        <v>42066</v>
      </c>
      <c r="J2479" t="s">
        <v>22</v>
      </c>
      <c r="K2479" t="s">
        <v>23</v>
      </c>
      <c r="L2479" s="2">
        <v>1015117</v>
      </c>
      <c r="M2479" s="2">
        <v>359713</v>
      </c>
      <c r="N2479" s="2">
        <v>0</v>
      </c>
      <c r="O2479" s="2">
        <v>95287</v>
      </c>
      <c r="P2479" t="s">
        <v>24</v>
      </c>
      <c r="Q2479" t="s">
        <v>24</v>
      </c>
    </row>
    <row r="2480" spans="1:17" x14ac:dyDescent="0.25">
      <c r="A2480" t="s">
        <v>3776</v>
      </c>
      <c r="B2480" t="s">
        <v>3777</v>
      </c>
      <c r="C2480" s="1">
        <v>41275</v>
      </c>
      <c r="D2480" s="1">
        <v>41639</v>
      </c>
      <c r="E2480" t="s">
        <v>3778</v>
      </c>
      <c r="G2480" t="s">
        <v>3779</v>
      </c>
      <c r="H2480" t="s">
        <v>62</v>
      </c>
      <c r="I2480" t="str">
        <f>"44124"</f>
        <v>44124</v>
      </c>
      <c r="J2480" t="s">
        <v>22</v>
      </c>
      <c r="K2480" t="s">
        <v>30</v>
      </c>
      <c r="L2480" s="2">
        <v>1014573</v>
      </c>
      <c r="M2480" s="2">
        <v>6194403</v>
      </c>
      <c r="N2480" s="2">
        <v>0</v>
      </c>
      <c r="O2480" s="2">
        <v>1895285</v>
      </c>
      <c r="P2480" t="s">
        <v>24</v>
      </c>
      <c r="Q2480" t="s">
        <v>24</v>
      </c>
    </row>
    <row r="2481" spans="1:17" x14ac:dyDescent="0.25">
      <c r="A2481" t="s">
        <v>2002</v>
      </c>
      <c r="B2481" t="s">
        <v>2003</v>
      </c>
      <c r="C2481" s="1">
        <v>41275</v>
      </c>
      <c r="D2481" s="1">
        <v>41639</v>
      </c>
      <c r="E2481" t="s">
        <v>2004</v>
      </c>
      <c r="G2481" t="s">
        <v>147</v>
      </c>
      <c r="H2481" t="s">
        <v>62</v>
      </c>
      <c r="I2481" t="str">
        <f>"44303"</f>
        <v>44303</v>
      </c>
      <c r="J2481" t="s">
        <v>22</v>
      </c>
      <c r="K2481" t="s">
        <v>23</v>
      </c>
      <c r="L2481" s="2">
        <v>1013043</v>
      </c>
      <c r="M2481" s="2">
        <v>337288</v>
      </c>
      <c r="N2481" s="2">
        <v>0</v>
      </c>
      <c r="O2481" s="2">
        <v>240538</v>
      </c>
      <c r="P2481" t="s">
        <v>24</v>
      </c>
      <c r="Q2481" t="s">
        <v>24</v>
      </c>
    </row>
    <row r="2482" spans="1:17" x14ac:dyDescent="0.25">
      <c r="A2482" t="s">
        <v>4431</v>
      </c>
      <c r="B2482" t="s">
        <v>4432</v>
      </c>
      <c r="C2482" s="1">
        <v>41275</v>
      </c>
      <c r="D2482" s="1">
        <v>41639</v>
      </c>
      <c r="E2482" t="s">
        <v>4433</v>
      </c>
      <c r="G2482" t="s">
        <v>4434</v>
      </c>
      <c r="H2482" t="s">
        <v>62</v>
      </c>
      <c r="I2482" t="str">
        <f>"44663"</f>
        <v>44663</v>
      </c>
      <c r="J2482" t="s">
        <v>22</v>
      </c>
      <c r="K2482" t="s">
        <v>30</v>
      </c>
      <c r="L2482" s="2">
        <v>1012962</v>
      </c>
      <c r="M2482" s="2">
        <v>212700</v>
      </c>
      <c r="N2482" s="2">
        <v>0</v>
      </c>
      <c r="O2482" s="2">
        <v>54815</v>
      </c>
      <c r="P2482" t="s">
        <v>24</v>
      </c>
      <c r="Q2482" t="s">
        <v>24</v>
      </c>
    </row>
    <row r="2483" spans="1:17" x14ac:dyDescent="0.25">
      <c r="A2483" t="s">
        <v>5833</v>
      </c>
      <c r="B2483" t="s">
        <v>5834</v>
      </c>
      <c r="C2483" s="1">
        <v>41275</v>
      </c>
      <c r="D2483" s="1">
        <v>41639</v>
      </c>
      <c r="E2483" t="s">
        <v>5835</v>
      </c>
      <c r="G2483" t="s">
        <v>5836</v>
      </c>
      <c r="H2483" t="s">
        <v>62</v>
      </c>
      <c r="I2483" t="str">
        <f>"44615"</f>
        <v>44615</v>
      </c>
      <c r="J2483" t="s">
        <v>22</v>
      </c>
      <c r="K2483" t="s">
        <v>23</v>
      </c>
      <c r="L2483" s="2">
        <v>1012913</v>
      </c>
      <c r="M2483" s="2">
        <v>683823</v>
      </c>
      <c r="N2483" s="2">
        <v>0</v>
      </c>
      <c r="O2483" s="2">
        <v>24727</v>
      </c>
      <c r="P2483" t="s">
        <v>24</v>
      </c>
      <c r="Q2483" t="s">
        <v>24</v>
      </c>
    </row>
    <row r="2484" spans="1:17" x14ac:dyDescent="0.25">
      <c r="A2484" t="s">
        <v>3389</v>
      </c>
      <c r="B2484" t="s">
        <v>3390</v>
      </c>
      <c r="C2484" s="1">
        <v>41579</v>
      </c>
      <c r="D2484" s="1">
        <v>41943</v>
      </c>
      <c r="E2484" t="s">
        <v>702</v>
      </c>
      <c r="G2484" t="s">
        <v>28</v>
      </c>
      <c r="H2484" t="s">
        <v>29</v>
      </c>
      <c r="I2484" t="str">
        <f>"60603"</f>
        <v>60603</v>
      </c>
      <c r="J2484" t="s">
        <v>22</v>
      </c>
      <c r="K2484" t="s">
        <v>23</v>
      </c>
      <c r="L2484" s="2">
        <v>1011835</v>
      </c>
      <c r="M2484" s="2">
        <v>119378</v>
      </c>
      <c r="N2484" s="2">
        <v>0</v>
      </c>
      <c r="O2484" s="2">
        <v>54589</v>
      </c>
      <c r="P2484" t="s">
        <v>24</v>
      </c>
      <c r="Q2484" t="s">
        <v>24</v>
      </c>
    </row>
    <row r="2485" spans="1:17" x14ac:dyDescent="0.25">
      <c r="A2485" t="s">
        <v>594</v>
      </c>
      <c r="B2485" t="s">
        <v>595</v>
      </c>
      <c r="C2485" s="1">
        <v>39448</v>
      </c>
      <c r="D2485" s="1">
        <v>39813</v>
      </c>
      <c r="E2485" t="s">
        <v>596</v>
      </c>
      <c r="G2485" t="s">
        <v>597</v>
      </c>
      <c r="H2485" t="s">
        <v>42</v>
      </c>
      <c r="I2485" t="str">
        <f>"54730"</f>
        <v>54730</v>
      </c>
      <c r="J2485" t="s">
        <v>22</v>
      </c>
      <c r="K2485" t="s">
        <v>30</v>
      </c>
      <c r="L2485" s="2">
        <v>1011250</v>
      </c>
      <c r="M2485" s="2">
        <v>40148113</v>
      </c>
      <c r="N2485" s="2">
        <v>1998</v>
      </c>
      <c r="O2485" s="2">
        <v>106705</v>
      </c>
      <c r="P2485" t="s">
        <v>24</v>
      </c>
      <c r="Q2485" t="s">
        <v>24</v>
      </c>
    </row>
    <row r="2486" spans="1:17" x14ac:dyDescent="0.25">
      <c r="A2486" t="s">
        <v>4328</v>
      </c>
      <c r="B2486" t="s">
        <v>4329</v>
      </c>
      <c r="C2486" s="1">
        <v>41091</v>
      </c>
      <c r="D2486" s="1">
        <v>41455</v>
      </c>
      <c r="E2486" t="s">
        <v>4330</v>
      </c>
      <c r="G2486" t="s">
        <v>768</v>
      </c>
      <c r="H2486" t="s">
        <v>62</v>
      </c>
      <c r="I2486" t="str">
        <f>"44122"</f>
        <v>44122</v>
      </c>
      <c r="J2486" t="s">
        <v>22</v>
      </c>
      <c r="K2486" t="s">
        <v>30</v>
      </c>
      <c r="L2486" s="2">
        <v>1010292</v>
      </c>
      <c r="M2486" s="2">
        <v>178277</v>
      </c>
      <c r="N2486" s="2">
        <v>0</v>
      </c>
      <c r="O2486" s="2">
        <v>209615</v>
      </c>
      <c r="P2486" t="s">
        <v>24</v>
      </c>
      <c r="Q2486" t="s">
        <v>24</v>
      </c>
    </row>
    <row r="2487" spans="1:17" x14ac:dyDescent="0.25">
      <c r="A2487" t="s">
        <v>4526</v>
      </c>
      <c r="B2487" t="s">
        <v>4527</v>
      </c>
      <c r="C2487" s="1">
        <v>41275</v>
      </c>
      <c r="D2487" s="1">
        <v>41639</v>
      </c>
      <c r="E2487" t="s">
        <v>4528</v>
      </c>
      <c r="G2487" t="s">
        <v>98</v>
      </c>
      <c r="H2487" t="s">
        <v>29</v>
      </c>
      <c r="I2487" t="str">
        <f>"60515"</f>
        <v>60515</v>
      </c>
      <c r="J2487" t="s">
        <v>22</v>
      </c>
      <c r="K2487" t="s">
        <v>30</v>
      </c>
      <c r="L2487" s="2">
        <v>1009604</v>
      </c>
      <c r="M2487" s="2">
        <v>32716</v>
      </c>
      <c r="N2487" s="2">
        <v>0</v>
      </c>
      <c r="O2487" s="2">
        <v>47618</v>
      </c>
      <c r="P2487" t="s">
        <v>24</v>
      </c>
      <c r="Q2487" t="s">
        <v>24</v>
      </c>
    </row>
    <row r="2488" spans="1:17" x14ac:dyDescent="0.25">
      <c r="A2488" t="s">
        <v>6444</v>
      </c>
      <c r="B2488" t="s">
        <v>6445</v>
      </c>
      <c r="C2488" s="1">
        <v>41275</v>
      </c>
      <c r="D2488" s="1">
        <v>41639</v>
      </c>
      <c r="E2488" t="s">
        <v>556</v>
      </c>
      <c r="G2488" t="s">
        <v>167</v>
      </c>
      <c r="H2488" t="s">
        <v>62</v>
      </c>
      <c r="I2488" t="str">
        <f>"45201"</f>
        <v>45201</v>
      </c>
      <c r="J2488" t="s">
        <v>22</v>
      </c>
      <c r="K2488" t="s">
        <v>23</v>
      </c>
      <c r="L2488" s="2">
        <v>1009319</v>
      </c>
      <c r="M2488" s="2">
        <v>1424573</v>
      </c>
      <c r="N2488" s="2">
        <v>0</v>
      </c>
      <c r="O2488" s="2">
        <v>48865</v>
      </c>
      <c r="P2488" t="s">
        <v>24</v>
      </c>
      <c r="Q2488" t="s">
        <v>24</v>
      </c>
    </row>
    <row r="2489" spans="1:17" x14ac:dyDescent="0.25">
      <c r="A2489" t="s">
        <v>844</v>
      </c>
      <c r="B2489" t="s">
        <v>845</v>
      </c>
      <c r="C2489" s="1">
        <v>41275</v>
      </c>
      <c r="D2489" s="1">
        <v>41639</v>
      </c>
      <c r="E2489" t="s">
        <v>50</v>
      </c>
      <c r="G2489" t="s">
        <v>28</v>
      </c>
      <c r="H2489" t="s">
        <v>29</v>
      </c>
      <c r="I2489" t="str">
        <f>"60603"</f>
        <v>60603</v>
      </c>
      <c r="J2489" t="s">
        <v>22</v>
      </c>
      <c r="K2489" t="s">
        <v>23</v>
      </c>
      <c r="L2489" s="2">
        <v>1009109</v>
      </c>
      <c r="M2489" s="2">
        <v>197379</v>
      </c>
      <c r="N2489" s="2">
        <v>0</v>
      </c>
      <c r="O2489" s="2">
        <v>54530</v>
      </c>
      <c r="P2489" t="s">
        <v>24</v>
      </c>
      <c r="Q2489" t="s">
        <v>24</v>
      </c>
    </row>
    <row r="2490" spans="1:17" x14ac:dyDescent="0.25">
      <c r="A2490" t="s">
        <v>5961</v>
      </c>
      <c r="B2490" t="s">
        <v>5962</v>
      </c>
      <c r="E2490" t="s">
        <v>5963</v>
      </c>
      <c r="G2490" t="s">
        <v>3775</v>
      </c>
      <c r="H2490" t="s">
        <v>62</v>
      </c>
      <c r="I2490" t="str">
        <f>"44022"</f>
        <v>44022</v>
      </c>
      <c r="J2490" t="s">
        <v>22</v>
      </c>
      <c r="K2490" t="s">
        <v>30</v>
      </c>
      <c r="L2490" s="2">
        <v>1008856</v>
      </c>
      <c r="M2490" s="2">
        <v>1989519</v>
      </c>
      <c r="N2490" s="2">
        <v>0</v>
      </c>
      <c r="O2490" t="s">
        <v>24</v>
      </c>
      <c r="P2490" t="s">
        <v>24</v>
      </c>
      <c r="Q2490" t="s">
        <v>24</v>
      </c>
    </row>
    <row r="2491" spans="1:17" x14ac:dyDescent="0.25">
      <c r="A2491" t="s">
        <v>379</v>
      </c>
      <c r="B2491" t="s">
        <v>380</v>
      </c>
      <c r="C2491" s="1">
        <v>41275</v>
      </c>
      <c r="D2491" s="1">
        <v>41639</v>
      </c>
      <c r="E2491" t="s">
        <v>236</v>
      </c>
      <c r="G2491" t="s">
        <v>237</v>
      </c>
      <c r="H2491" t="s">
        <v>42</v>
      </c>
      <c r="I2491" t="str">
        <f>"54601"</f>
        <v>54601</v>
      </c>
      <c r="J2491" t="s">
        <v>22</v>
      </c>
      <c r="K2491" t="s">
        <v>30</v>
      </c>
      <c r="L2491" s="2">
        <v>1007094</v>
      </c>
      <c r="M2491" s="2">
        <v>300565</v>
      </c>
      <c r="N2491" s="2">
        <v>0</v>
      </c>
      <c r="O2491" s="2">
        <v>40528</v>
      </c>
      <c r="P2491" t="s">
        <v>24</v>
      </c>
      <c r="Q2491" t="s">
        <v>24</v>
      </c>
    </row>
    <row r="2492" spans="1:17" x14ac:dyDescent="0.25">
      <c r="A2492" t="s">
        <v>6561</v>
      </c>
      <c r="B2492" t="s">
        <v>6562</v>
      </c>
      <c r="C2492" s="1">
        <v>41275</v>
      </c>
      <c r="D2492" s="1">
        <v>41639</v>
      </c>
      <c r="E2492" t="s">
        <v>6563</v>
      </c>
      <c r="G2492" t="s">
        <v>28</v>
      </c>
      <c r="H2492" t="s">
        <v>29</v>
      </c>
      <c r="I2492" t="str">
        <f>"60611"</f>
        <v>60611</v>
      </c>
      <c r="J2492" t="s">
        <v>22</v>
      </c>
      <c r="K2492" t="s">
        <v>30</v>
      </c>
      <c r="L2492" s="2">
        <v>1006825</v>
      </c>
      <c r="M2492" s="2">
        <v>1350447</v>
      </c>
      <c r="N2492" s="2">
        <v>0</v>
      </c>
      <c r="O2492" s="2">
        <v>845015</v>
      </c>
      <c r="P2492" t="s">
        <v>24</v>
      </c>
      <c r="Q2492" t="s">
        <v>24</v>
      </c>
    </row>
    <row r="2493" spans="1:17" x14ac:dyDescent="0.25">
      <c r="A2493" t="s">
        <v>204</v>
      </c>
      <c r="B2493" t="s">
        <v>205</v>
      </c>
      <c r="C2493" s="1">
        <v>41275</v>
      </c>
      <c r="D2493" s="1">
        <v>41639</v>
      </c>
      <c r="E2493" t="s">
        <v>142</v>
      </c>
      <c r="G2493" t="s">
        <v>143</v>
      </c>
      <c r="H2493" t="s">
        <v>47</v>
      </c>
      <c r="I2493" t="str">
        <f>"48275"</f>
        <v>48275</v>
      </c>
      <c r="J2493" t="s">
        <v>22</v>
      </c>
      <c r="K2493" t="s">
        <v>79</v>
      </c>
      <c r="L2493" s="2">
        <v>1004861</v>
      </c>
      <c r="M2493" s="2">
        <v>164758</v>
      </c>
      <c r="N2493" s="2">
        <v>0</v>
      </c>
      <c r="O2493" s="2">
        <v>97125</v>
      </c>
      <c r="P2493" t="s">
        <v>24</v>
      </c>
      <c r="Q2493" t="s">
        <v>24</v>
      </c>
    </row>
    <row r="2494" spans="1:17" x14ac:dyDescent="0.25">
      <c r="A2494" t="s">
        <v>890</v>
      </c>
      <c r="B2494" t="s">
        <v>891</v>
      </c>
      <c r="C2494" s="1">
        <v>41275</v>
      </c>
      <c r="D2494" s="1">
        <v>41639</v>
      </c>
      <c r="E2494" t="s">
        <v>892</v>
      </c>
      <c r="G2494" t="s">
        <v>893</v>
      </c>
      <c r="H2494" t="s">
        <v>29</v>
      </c>
      <c r="I2494" t="str">
        <f>"62401"</f>
        <v>62401</v>
      </c>
      <c r="J2494" t="s">
        <v>22</v>
      </c>
      <c r="K2494" t="s">
        <v>23</v>
      </c>
      <c r="L2494" s="2">
        <v>1004725</v>
      </c>
      <c r="M2494" s="2">
        <v>197109</v>
      </c>
      <c r="N2494" s="2">
        <v>0</v>
      </c>
      <c r="O2494" s="2">
        <v>412017</v>
      </c>
      <c r="P2494" t="s">
        <v>24</v>
      </c>
      <c r="Q2494" t="s">
        <v>24</v>
      </c>
    </row>
    <row r="2495" spans="1:17" x14ac:dyDescent="0.25">
      <c r="A2495" t="s">
        <v>2979</v>
      </c>
      <c r="B2495" t="s">
        <v>2980</v>
      </c>
      <c r="C2495" s="1">
        <v>41487</v>
      </c>
      <c r="D2495" s="1">
        <v>41851</v>
      </c>
      <c r="E2495" t="s">
        <v>1942</v>
      </c>
      <c r="G2495" t="s">
        <v>41</v>
      </c>
      <c r="H2495" t="s">
        <v>42</v>
      </c>
      <c r="I2495" t="str">
        <f>"53201"</f>
        <v>53201</v>
      </c>
      <c r="J2495" t="s">
        <v>22</v>
      </c>
      <c r="K2495" t="s">
        <v>23</v>
      </c>
      <c r="L2495" s="2">
        <v>1004502</v>
      </c>
      <c r="M2495" s="2">
        <v>1073057</v>
      </c>
      <c r="N2495" s="2">
        <v>0</v>
      </c>
      <c r="O2495" s="2">
        <v>59238</v>
      </c>
      <c r="P2495" t="s">
        <v>24</v>
      </c>
      <c r="Q2495" t="s">
        <v>24</v>
      </c>
    </row>
    <row r="2496" spans="1:17" x14ac:dyDescent="0.25">
      <c r="A2496" t="s">
        <v>2792</v>
      </c>
      <c r="B2496" t="s">
        <v>2793</v>
      </c>
      <c r="C2496" s="1">
        <v>41275</v>
      </c>
      <c r="D2496" s="1">
        <v>41639</v>
      </c>
      <c r="E2496" t="s">
        <v>2794</v>
      </c>
      <c r="G2496" t="s">
        <v>2795</v>
      </c>
      <c r="H2496" t="s">
        <v>29</v>
      </c>
      <c r="I2496" t="str">
        <f>"60007"</f>
        <v>60007</v>
      </c>
      <c r="J2496" t="s">
        <v>22</v>
      </c>
      <c r="K2496" t="s">
        <v>30</v>
      </c>
      <c r="L2496" s="2">
        <v>1004179</v>
      </c>
      <c r="M2496" s="2">
        <v>1113974</v>
      </c>
      <c r="N2496" s="2">
        <v>0</v>
      </c>
      <c r="O2496" s="2">
        <v>74143</v>
      </c>
      <c r="P2496" t="s">
        <v>24</v>
      </c>
      <c r="Q2496" t="s">
        <v>24</v>
      </c>
    </row>
    <row r="2497" spans="1:17" x14ac:dyDescent="0.25">
      <c r="A2497" t="s">
        <v>4302</v>
      </c>
      <c r="B2497" t="s">
        <v>4303</v>
      </c>
      <c r="C2497" s="1">
        <v>41275</v>
      </c>
      <c r="D2497" s="1">
        <v>41639</v>
      </c>
      <c r="E2497" t="s">
        <v>142</v>
      </c>
      <c r="G2497" t="s">
        <v>143</v>
      </c>
      <c r="H2497" t="s">
        <v>47</v>
      </c>
      <c r="I2497" t="str">
        <f>"48275"</f>
        <v>48275</v>
      </c>
      <c r="J2497" t="s">
        <v>22</v>
      </c>
      <c r="K2497" t="s">
        <v>91</v>
      </c>
      <c r="L2497" s="2">
        <v>1002470</v>
      </c>
      <c r="M2497" s="2">
        <v>462590</v>
      </c>
      <c r="N2497" s="2">
        <v>17255</v>
      </c>
      <c r="O2497" s="2">
        <v>69456</v>
      </c>
      <c r="P2497" t="s">
        <v>24</v>
      </c>
      <c r="Q2497" t="s">
        <v>24</v>
      </c>
    </row>
    <row r="2498" spans="1:17" x14ac:dyDescent="0.25">
      <c r="A2498" t="s">
        <v>5091</v>
      </c>
      <c r="B2498" t="s">
        <v>5092</v>
      </c>
      <c r="C2498" s="1">
        <v>41456</v>
      </c>
      <c r="D2498" s="1">
        <v>41820</v>
      </c>
      <c r="E2498" t="s">
        <v>5093</v>
      </c>
      <c r="G2498" t="s">
        <v>684</v>
      </c>
      <c r="H2498" t="s">
        <v>21</v>
      </c>
      <c r="I2498" t="str">
        <f>"47902"</f>
        <v>47902</v>
      </c>
      <c r="J2498" t="s">
        <v>22</v>
      </c>
      <c r="K2498" t="s">
        <v>30</v>
      </c>
      <c r="L2498" s="2">
        <v>1002374</v>
      </c>
      <c r="M2498" s="2">
        <v>551682</v>
      </c>
      <c r="N2498" s="2">
        <v>0</v>
      </c>
      <c r="O2498" s="2">
        <v>55111</v>
      </c>
      <c r="P2498" t="s">
        <v>24</v>
      </c>
      <c r="Q2498" t="s">
        <v>24</v>
      </c>
    </row>
    <row r="2499" spans="1:17" x14ac:dyDescent="0.25">
      <c r="A2499" t="s">
        <v>406</v>
      </c>
      <c r="B2499" t="s">
        <v>407</v>
      </c>
      <c r="C2499" s="1">
        <v>41275</v>
      </c>
      <c r="D2499" s="1">
        <v>41639</v>
      </c>
      <c r="E2499" t="s">
        <v>408</v>
      </c>
      <c r="G2499" t="s">
        <v>409</v>
      </c>
      <c r="H2499" t="s">
        <v>29</v>
      </c>
      <c r="I2499" t="str">
        <f>"60044"</f>
        <v>60044</v>
      </c>
      <c r="J2499" t="s">
        <v>22</v>
      </c>
      <c r="K2499" t="s">
        <v>23</v>
      </c>
      <c r="L2499" s="2">
        <v>1001518</v>
      </c>
      <c r="M2499" s="2">
        <v>546519</v>
      </c>
      <c r="N2499" s="2">
        <v>0</v>
      </c>
      <c r="O2499" s="2">
        <v>48321</v>
      </c>
      <c r="P2499" t="s">
        <v>24</v>
      </c>
      <c r="Q2499" t="s">
        <v>24</v>
      </c>
    </row>
    <row r="2500" spans="1:17" x14ac:dyDescent="0.25">
      <c r="A2500" t="s">
        <v>4307</v>
      </c>
      <c r="B2500" t="s">
        <v>4308</v>
      </c>
      <c r="C2500" s="1">
        <v>41600</v>
      </c>
      <c r="D2500" s="1">
        <v>41639</v>
      </c>
      <c r="E2500" t="s">
        <v>4309</v>
      </c>
      <c r="G2500" t="s">
        <v>1352</v>
      </c>
      <c r="H2500" t="s">
        <v>62</v>
      </c>
      <c r="I2500" t="str">
        <f>"43054"</f>
        <v>43054</v>
      </c>
      <c r="J2500" t="s">
        <v>22</v>
      </c>
      <c r="K2500" t="s">
        <v>30</v>
      </c>
      <c r="L2500" s="2">
        <v>1000007</v>
      </c>
      <c r="M2500" s="2">
        <v>1000007</v>
      </c>
      <c r="N2500" s="2">
        <v>0</v>
      </c>
      <c r="O2500" s="2">
        <v>0</v>
      </c>
      <c r="P2500" t="s">
        <v>24</v>
      </c>
      <c r="Q2500" t="s">
        <v>24</v>
      </c>
    </row>
    <row r="2501" spans="1:17" x14ac:dyDescent="0.25">
      <c r="A2501" t="s">
        <v>5885</v>
      </c>
      <c r="B2501" t="s">
        <v>5886</v>
      </c>
      <c r="E2501" t="s">
        <v>5887</v>
      </c>
      <c r="G2501" t="s">
        <v>28</v>
      </c>
      <c r="H2501" t="s">
        <v>29</v>
      </c>
      <c r="I2501" t="str">
        <f>"60614"</f>
        <v>60614</v>
      </c>
      <c r="J2501" t="s">
        <v>22</v>
      </c>
      <c r="K2501" t="s">
        <v>23</v>
      </c>
      <c r="L2501" s="2">
        <v>1000000</v>
      </c>
      <c r="M2501" s="2">
        <v>1000000</v>
      </c>
      <c r="N2501" s="2">
        <v>0</v>
      </c>
      <c r="O2501" t="s">
        <v>24</v>
      </c>
      <c r="P2501" t="s">
        <v>24</v>
      </c>
      <c r="Q2501" t="s">
        <v>24</v>
      </c>
    </row>
    <row r="2502" spans="1:17" x14ac:dyDescent="0.25">
      <c r="A2502" t="s">
        <v>7784</v>
      </c>
    </row>
  </sheetData>
  <autoFilter ref="A1:Q2502">
    <sortState ref="A2:Q2502">
      <sortCondition descending="1" ref="L1:L2502"/>
    </sortState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Midwestern Foundations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 Burke</dc:creator>
  <cp:lastModifiedBy>missie2</cp:lastModifiedBy>
  <dcterms:created xsi:type="dcterms:W3CDTF">2015-06-22T14:39:03Z</dcterms:created>
  <dcterms:modified xsi:type="dcterms:W3CDTF">2015-08-30T12:36:07Z</dcterms:modified>
</cp:coreProperties>
</file>